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附表1(汇总)" sheetId="1" r:id="rId1"/>
    <sheet name="人员" sheetId="2" state="hidden" r:id="rId2"/>
  </sheets>
  <definedNames>
    <definedName name="_xlnm.Print_Titles" localSheetId="0">'附表1(汇总)'!$1:$4</definedName>
  </definedNames>
  <calcPr fullCalcOnLoad="1"/>
</workbook>
</file>

<file path=xl/sharedStrings.xml><?xml version="1.0" encoding="utf-8"?>
<sst xmlns="http://schemas.openxmlformats.org/spreadsheetml/2006/main" count="311" uniqueCount="219">
  <si>
    <t>附表1</t>
  </si>
  <si>
    <t>序号</t>
  </si>
  <si>
    <t>名称/沟渠/塘坝</t>
  </si>
  <si>
    <t>沟渠长度（km）/塘坝处数（口）</t>
  </si>
  <si>
    <t>塘坝现状</t>
  </si>
  <si>
    <t>主要建设任务</t>
  </si>
  <si>
    <t>主要工程量</t>
  </si>
  <si>
    <t>工程投资（万元）</t>
  </si>
  <si>
    <t>备注</t>
  </si>
  <si>
    <r>
      <t>蓄水量（万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宋体"/>
        <family val="0"/>
      </rPr>
      <t>）</t>
    </r>
  </si>
  <si>
    <r>
      <t>面积（万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宋体"/>
        <family val="0"/>
      </rPr>
      <t>）</t>
    </r>
  </si>
  <si>
    <r>
      <t>清淤面积（万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宋体"/>
        <family val="0"/>
      </rPr>
      <t>）</t>
    </r>
  </si>
  <si>
    <t>条数、平均清淤深度（米）</t>
  </si>
  <si>
    <r>
      <t>清淤（万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宋体"/>
        <family val="0"/>
      </rPr>
      <t>）</t>
    </r>
  </si>
  <si>
    <r>
      <t>土方（万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宋体"/>
        <family val="0"/>
      </rPr>
      <t>）</t>
    </r>
  </si>
  <si>
    <t>总投资(万元)</t>
  </si>
  <si>
    <t>其他</t>
  </si>
  <si>
    <t>省级财政</t>
  </si>
  <si>
    <t>整合项目资金</t>
  </si>
  <si>
    <t>社会资金</t>
  </si>
  <si>
    <t>地方自筹</t>
  </si>
  <si>
    <t>平江县</t>
  </si>
  <si>
    <t>540 /1928</t>
  </si>
  <si>
    <t>清淤（万m3）</t>
  </si>
  <si>
    <t>（一）</t>
  </si>
  <si>
    <t>平江县沟渠合计</t>
  </si>
  <si>
    <t>土方（万m3）</t>
  </si>
  <si>
    <t>条</t>
  </si>
  <si>
    <t>疏浚长度</t>
  </si>
  <si>
    <t>清淤(万m3)</t>
  </si>
  <si>
    <t>一</t>
  </si>
  <si>
    <t>伍市镇沟渠合计</t>
  </si>
  <si>
    <t>伍市镇大型沟渠</t>
  </si>
  <si>
    <t>大型沟渠</t>
  </si>
  <si>
    <t>伍市镇中型沟渠</t>
  </si>
  <si>
    <t>中型沟渠</t>
  </si>
  <si>
    <t>伍市镇小型沟渠</t>
  </si>
  <si>
    <t>伍市镇微型沟渠</t>
  </si>
  <si>
    <t>二</t>
  </si>
  <si>
    <t>岑川镇沟渠合计</t>
  </si>
  <si>
    <t>岑川镇大型沟渠</t>
  </si>
  <si>
    <t>岑川镇中型沟渠</t>
  </si>
  <si>
    <t>岑川镇小型沟渠</t>
  </si>
  <si>
    <t>岑川镇微型沟渠</t>
  </si>
  <si>
    <t>三</t>
  </si>
  <si>
    <t>三墩乡沟渠合计</t>
  </si>
  <si>
    <t>三墩乡大型沟渠</t>
  </si>
  <si>
    <t>三墩乡小型沟渠</t>
  </si>
  <si>
    <t>三墩乡微型沟渠</t>
  </si>
  <si>
    <t>四</t>
  </si>
  <si>
    <t>长寿镇沟渠合计</t>
  </si>
  <si>
    <t>长寿镇大型沟渠</t>
  </si>
  <si>
    <t>长寿镇中型沟渠</t>
  </si>
  <si>
    <t>长寿镇小型沟渠</t>
  </si>
  <si>
    <t>长寿镇微型沟渠</t>
  </si>
  <si>
    <t>五</t>
  </si>
  <si>
    <t>加义镇沟渠合计</t>
  </si>
  <si>
    <t>加义镇中型沟渠</t>
  </si>
  <si>
    <t>加义镇小型沟渠</t>
  </si>
  <si>
    <t>加义镇微型沟渠</t>
  </si>
  <si>
    <t>六</t>
  </si>
  <si>
    <t>安定镇沟渠合计</t>
  </si>
  <si>
    <t>安定镇大型沟渠</t>
  </si>
  <si>
    <t>安定镇中型沟渠</t>
  </si>
  <si>
    <t>安定镇小型沟渠</t>
  </si>
  <si>
    <t>安定镇微型沟渠</t>
  </si>
  <si>
    <t>七</t>
  </si>
  <si>
    <t>三市镇沟渠合计</t>
  </si>
  <si>
    <t>三市镇中型沟渠</t>
  </si>
  <si>
    <t>三市镇小型沟渠</t>
  </si>
  <si>
    <t>三市镇微型沟渠</t>
  </si>
  <si>
    <t>八</t>
  </si>
  <si>
    <t>梅仙镇沟渠合计</t>
  </si>
  <si>
    <t>梅仙镇大型沟渠</t>
  </si>
  <si>
    <t>梅仙镇中型沟渠</t>
  </si>
  <si>
    <t>梅仙镇小型沟渠</t>
  </si>
  <si>
    <t>梅仙镇微型沟渠</t>
  </si>
  <si>
    <t>九</t>
  </si>
  <si>
    <t>南江镇沟渠合计</t>
  </si>
  <si>
    <t>南江镇大型沟渠</t>
  </si>
  <si>
    <t>南江镇中型沟渠</t>
  </si>
  <si>
    <t>南江镇小型沟渠</t>
  </si>
  <si>
    <t>南江镇微型沟渠</t>
  </si>
  <si>
    <t>十</t>
  </si>
  <si>
    <t>徐家洞水库管理所</t>
  </si>
  <si>
    <t>徐家洞大型沟渠</t>
  </si>
  <si>
    <t>徐家洞小型沟渠</t>
  </si>
  <si>
    <t>徐家洞微型沟渠</t>
  </si>
  <si>
    <t>（二）</t>
  </si>
  <si>
    <t>平江县塘坝合计</t>
  </si>
  <si>
    <t>清淤面积应小于水面面积</t>
  </si>
  <si>
    <t>伍市镇塘坝合计</t>
  </si>
  <si>
    <t>大型塘坝</t>
  </si>
  <si>
    <t>库容不达标</t>
  </si>
  <si>
    <t>中型塘坝</t>
  </si>
  <si>
    <t>小型山塘</t>
  </si>
  <si>
    <t>岑川镇塘坝合计</t>
  </si>
  <si>
    <t>小型塘坝</t>
  </si>
  <si>
    <t>三墩乡塘坝合计</t>
  </si>
  <si>
    <t>长寿镇塘坝合计</t>
  </si>
  <si>
    <t>加义镇塘坝合计</t>
  </si>
  <si>
    <t>安定镇塘坝合计</t>
  </si>
  <si>
    <t>三市镇塘坝合计</t>
  </si>
  <si>
    <t>梅仙镇塘坝合计</t>
  </si>
  <si>
    <t>南江镇</t>
  </si>
  <si>
    <t>沟渠名称</t>
  </si>
  <si>
    <t>涉及行政村</t>
  </si>
  <si>
    <t>沟渠现状</t>
  </si>
  <si>
    <t>主要工作量</t>
  </si>
  <si>
    <t>底宽(m)</t>
  </si>
  <si>
    <t>建筑物（处）</t>
  </si>
  <si>
    <t>整修建筑物（处）</t>
  </si>
  <si>
    <r>
      <t>清淤(m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</si>
  <si>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r>
      <t>石方(m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</si>
  <si>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r>
      <t>砼(m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</si>
  <si>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t>省级奖补</t>
  </si>
  <si>
    <t>平江县合计</t>
  </si>
  <si>
    <t>伍市镇</t>
  </si>
  <si>
    <t>岱青水库大排灌渠</t>
  </si>
  <si>
    <t>岱青村</t>
  </si>
  <si>
    <t>胜利片大排洪渠</t>
  </si>
  <si>
    <t>杨家下排灌渠</t>
  </si>
  <si>
    <t>童家塅村</t>
  </si>
  <si>
    <t>大义村大排洪渠</t>
  </si>
  <si>
    <t>大义村</t>
  </si>
  <si>
    <t>伍市镇栗山河</t>
  </si>
  <si>
    <t>富家水库排灌渠</t>
  </si>
  <si>
    <t>中家桥村</t>
  </si>
  <si>
    <t>武岗排灌渠</t>
  </si>
  <si>
    <t>武岗村</t>
  </si>
  <si>
    <t>杨家排灌渠</t>
  </si>
  <si>
    <t>大屋里排灌渠</t>
  </si>
  <si>
    <t>岱青水库小排灌渠</t>
  </si>
  <si>
    <t>胜利片小排洪渠</t>
  </si>
  <si>
    <t>小排洪渠</t>
  </si>
  <si>
    <t>秀水河</t>
  </si>
  <si>
    <t>秀水村</t>
  </si>
  <si>
    <t>青林村</t>
  </si>
  <si>
    <t>东山渠道</t>
  </si>
  <si>
    <t>东山村</t>
  </si>
  <si>
    <t>岑川镇</t>
  </si>
  <si>
    <t>新福排灌渠</t>
  </si>
  <si>
    <t>新福村</t>
  </si>
  <si>
    <t>洪源洞排灌渠</t>
  </si>
  <si>
    <t>包湾村排灌渠</t>
  </si>
  <si>
    <t>包湾村</t>
  </si>
  <si>
    <t>大义排灌河</t>
  </si>
  <si>
    <t>三墩乡</t>
  </si>
  <si>
    <t>三墩乡排灌结合渠道</t>
  </si>
  <si>
    <t>戴市村</t>
  </si>
  <si>
    <t>长寿镇</t>
  </si>
  <si>
    <t>长寿大型沟渠</t>
  </si>
  <si>
    <t>西溪沟渠</t>
  </si>
  <si>
    <t>邵阳沟渠</t>
  </si>
  <si>
    <t>邵阳村</t>
  </si>
  <si>
    <t>九岭沟渠</t>
  </si>
  <si>
    <t>九岭村</t>
  </si>
  <si>
    <t>砂岩沟渠</t>
  </si>
  <si>
    <t>复建村</t>
  </si>
  <si>
    <t>早仑沟渠</t>
  </si>
  <si>
    <t>早仑村</t>
  </si>
  <si>
    <t>安定大型沟渠</t>
  </si>
  <si>
    <t>秋湖主干渠</t>
  </si>
  <si>
    <t>高坪村</t>
  </si>
  <si>
    <t>周家塅沟渠</t>
  </si>
  <si>
    <t>平田沟渠</t>
  </si>
  <si>
    <t>平田村</t>
  </si>
  <si>
    <t>白茅沟渠</t>
  </si>
  <si>
    <t>白茅村</t>
  </si>
  <si>
    <t>富家沟渠</t>
  </si>
  <si>
    <t>富家村</t>
  </si>
  <si>
    <t>岳田沟渠</t>
  </si>
  <si>
    <t>岳田村</t>
  </si>
  <si>
    <t>1号沟渠</t>
  </si>
  <si>
    <t>宦田村</t>
  </si>
  <si>
    <t>2号沟渠</t>
  </si>
  <si>
    <t>沟渠</t>
  </si>
  <si>
    <t>永太村</t>
  </si>
  <si>
    <t>梅仙镇</t>
  </si>
  <si>
    <t>大冲下沟渠</t>
  </si>
  <si>
    <t>哲寮村</t>
  </si>
  <si>
    <t>石塘主沟渠</t>
  </si>
  <si>
    <t>石塘村</t>
  </si>
  <si>
    <t>石塘支沟渠</t>
  </si>
  <si>
    <t>大冲上沟渠</t>
  </si>
  <si>
    <t>碧龙峡下沟渠</t>
  </si>
  <si>
    <t>砂坪头尖山沟渠</t>
  </si>
  <si>
    <t>尖山村</t>
  </si>
  <si>
    <t>沙山至浆田下沟渠</t>
  </si>
  <si>
    <t>浆田村</t>
  </si>
  <si>
    <t>凤桥下沟渠</t>
  </si>
  <si>
    <t>凤桥村</t>
  </si>
  <si>
    <t>沙山至浆田上河沟渠</t>
  </si>
  <si>
    <t>五角村</t>
  </si>
  <si>
    <t>凤阳上沟渠</t>
  </si>
  <si>
    <t>凤阳村</t>
  </si>
  <si>
    <t>林塘沟渠</t>
  </si>
  <si>
    <t>高南村</t>
  </si>
  <si>
    <t>永康肖家沟渠</t>
  </si>
  <si>
    <t>永康村</t>
  </si>
  <si>
    <t>红门沟渠</t>
  </si>
  <si>
    <t>红门村</t>
  </si>
  <si>
    <t>平江县2018年洞庭湖沟渠疏浚省级奖补资金实施计划表</t>
  </si>
  <si>
    <t>长度(m)</t>
  </si>
  <si>
    <t>清淤长度(m)</t>
  </si>
  <si>
    <r>
      <t>土方(m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</si>
  <si>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t>总投资</t>
  </si>
  <si>
    <t>市级奖补</t>
  </si>
  <si>
    <t>县级奖补</t>
  </si>
  <si>
    <t>乡政财政</t>
  </si>
  <si>
    <t xml:space="preserve">其他 </t>
  </si>
  <si>
    <t>伍市镇合计</t>
  </si>
  <si>
    <t>长寿城镇</t>
  </si>
  <si>
    <t>加义镇合计</t>
  </si>
  <si>
    <t>加义镇大型沟渠</t>
  </si>
  <si>
    <t>徐家洞水库西灌渠</t>
  </si>
  <si>
    <t>安定镇合计</t>
  </si>
  <si>
    <t>三市镇合计</t>
  </si>
  <si>
    <t>平江县2018年洞庭湖区沟渠塘坝清淤增蓄项目实施计划表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</si>
</sst>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  <numFmt numFmtId="180" formatCode="0.00000000_ "/>
    <numFmt numFmtId="181" formatCode="0.0_);[Red]\(0.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vertAlign val="superscript"/>
      <sz val="10"/>
      <name val="宋体"/>
      <family val="0"/>
    </font>
    <font>
      <b/>
      <vertAlign val="superscript"/>
      <sz val="10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27" fillId="4" borderId="7" applyNumberFormat="0" applyAlignment="0" applyProtection="0"/>
    <xf numFmtId="0" fontId="26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41" applyFont="1" applyFill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/>
      <protection/>
    </xf>
    <xf numFmtId="0" fontId="4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0" fontId="2" fillId="0" borderId="9" xfId="41" applyFont="1" applyBorder="1" applyAlignment="1">
      <alignment horizontal="center" vertical="center" wrapText="1"/>
      <protection/>
    </xf>
    <xf numFmtId="176" fontId="4" fillId="2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41" applyNumberFormat="1" applyFont="1" applyBorder="1" applyAlignment="1">
      <alignment horizontal="center" vertical="center" wrapText="1"/>
      <protection/>
    </xf>
    <xf numFmtId="178" fontId="4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 wrapText="1"/>
    </xf>
    <xf numFmtId="0" fontId="34" fillId="2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79" fontId="2" fillId="0" borderId="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  <xf numFmtId="179" fontId="0" fillId="0" borderId="0" xfId="0" applyNumberFormat="1" applyAlignment="1">
      <alignment vertical="center"/>
    </xf>
    <xf numFmtId="177" fontId="9" fillId="0" borderId="9" xfId="0" applyNumberFormat="1" applyFont="1" applyFill="1" applyBorder="1" applyAlignment="1">
      <alignment horizontal="center"/>
    </xf>
    <xf numFmtId="176" fontId="9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87"/>
  <sheetViews>
    <sheetView tabSelected="1" zoomScaleSheetLayoutView="115" zoomScalePageLayoutView="0" workbookViewId="0" topLeftCell="A1">
      <selection activeCell="J7" sqref="J7"/>
    </sheetView>
  </sheetViews>
  <sheetFormatPr defaultColWidth="9.00390625" defaultRowHeight="14.25"/>
  <cols>
    <col min="1" max="1" width="4.625" style="27" customWidth="1"/>
    <col min="2" max="2" width="15.25390625" style="26" customWidth="1"/>
    <col min="3" max="3" width="11.75390625" style="28" customWidth="1"/>
    <col min="4" max="4" width="9.50390625" style="28" customWidth="1"/>
    <col min="5" max="6" width="7.625" style="28" customWidth="1"/>
    <col min="7" max="7" width="6.25390625" style="29" customWidth="1"/>
    <col min="8" max="8" width="9.00390625" style="26" customWidth="1"/>
    <col min="9" max="9" width="7.625" style="26" customWidth="1"/>
    <col min="10" max="10" width="9.625" style="26" customWidth="1"/>
    <col min="11" max="11" width="9.50390625" style="28" customWidth="1"/>
    <col min="12" max="13" width="6.50390625" style="26" customWidth="1"/>
    <col min="14" max="14" width="9.625" style="26" customWidth="1"/>
    <col min="15" max="15" width="4.50390625" style="26" customWidth="1"/>
    <col min="16" max="16" width="12.625" style="0" hidden="1" customWidth="1"/>
    <col min="17" max="17" width="24.25390625" style="30" hidden="1" customWidth="1"/>
    <col min="18" max="19" width="12.625" style="0" hidden="1" customWidth="1"/>
    <col min="20" max="20" width="10.375" style="0" hidden="1" customWidth="1"/>
    <col min="21" max="23" width="9.00390625" style="0" hidden="1" customWidth="1"/>
    <col min="24" max="24" width="12.625" style="0" hidden="1" customWidth="1"/>
    <col min="25" max="25" width="9.00390625" style="0" hidden="1" customWidth="1"/>
    <col min="26" max="30" width="9.00390625" style="0" customWidth="1"/>
  </cols>
  <sheetData>
    <row r="1" spans="1:15" ht="36" customHeight="1">
      <c r="A1" s="31" t="s">
        <v>0</v>
      </c>
      <c r="B1" s="59" t="s">
        <v>218</v>
      </c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2"/>
    </row>
    <row r="2" spans="1:15" ht="15.75" customHeight="1">
      <c r="A2" s="57" t="s">
        <v>1</v>
      </c>
      <c r="B2" s="56" t="s">
        <v>2</v>
      </c>
      <c r="C2" s="58" t="s">
        <v>3</v>
      </c>
      <c r="D2" s="63" t="s">
        <v>4</v>
      </c>
      <c r="E2" s="63"/>
      <c r="F2" s="63" t="s">
        <v>5</v>
      </c>
      <c r="G2" s="64"/>
      <c r="H2" s="56" t="s">
        <v>6</v>
      </c>
      <c r="I2" s="56"/>
      <c r="J2" s="56" t="s">
        <v>7</v>
      </c>
      <c r="K2" s="63"/>
      <c r="L2" s="56"/>
      <c r="M2" s="56"/>
      <c r="N2" s="56"/>
      <c r="O2" s="56" t="s">
        <v>8</v>
      </c>
    </row>
    <row r="3" spans="1:15" ht="24" customHeight="1">
      <c r="A3" s="57"/>
      <c r="B3" s="56"/>
      <c r="C3" s="58"/>
      <c r="D3" s="58" t="s">
        <v>9</v>
      </c>
      <c r="E3" s="58" t="s">
        <v>10</v>
      </c>
      <c r="F3" s="58" t="s">
        <v>11</v>
      </c>
      <c r="G3" s="65" t="s">
        <v>12</v>
      </c>
      <c r="H3" s="66" t="s">
        <v>13</v>
      </c>
      <c r="I3" s="66" t="s">
        <v>14</v>
      </c>
      <c r="J3" s="66" t="s">
        <v>15</v>
      </c>
      <c r="K3" s="51"/>
      <c r="L3" s="56" t="s">
        <v>16</v>
      </c>
      <c r="M3" s="56"/>
      <c r="N3" s="56"/>
      <c r="O3" s="56"/>
    </row>
    <row r="4" spans="1:15" ht="42" customHeight="1">
      <c r="A4" s="57"/>
      <c r="B4" s="56"/>
      <c r="C4" s="58"/>
      <c r="D4" s="58"/>
      <c r="E4" s="58"/>
      <c r="F4" s="58"/>
      <c r="G4" s="65"/>
      <c r="H4" s="66"/>
      <c r="I4" s="66"/>
      <c r="J4" s="66"/>
      <c r="K4" s="33" t="s">
        <v>17</v>
      </c>
      <c r="L4" s="34" t="s">
        <v>18</v>
      </c>
      <c r="M4" s="34" t="s">
        <v>19</v>
      </c>
      <c r="N4" s="34" t="s">
        <v>20</v>
      </c>
      <c r="O4" s="56"/>
    </row>
    <row r="5" spans="1:19" ht="19.5" customHeight="1">
      <c r="A5" s="35"/>
      <c r="B5" s="8" t="s">
        <v>21</v>
      </c>
      <c r="C5" s="33" t="s">
        <v>22</v>
      </c>
      <c r="D5" s="33"/>
      <c r="E5" s="33"/>
      <c r="F5" s="33"/>
      <c r="G5" s="32">
        <v>48</v>
      </c>
      <c r="H5" s="42">
        <v>574.02857651359</v>
      </c>
      <c r="I5" s="42">
        <v>58.2010124174944</v>
      </c>
      <c r="J5" s="33">
        <v>3477.9789904215017</v>
      </c>
      <c r="K5" s="33">
        <v>1344</v>
      </c>
      <c r="L5" s="33"/>
      <c r="M5" s="33"/>
      <c r="N5" s="33">
        <v>2133.9889904215015</v>
      </c>
      <c r="O5" s="8"/>
      <c r="P5" s="30" t="s">
        <v>23</v>
      </c>
      <c r="Q5" s="30" t="e">
        <f>#REF!+#REF!+#REF!+#REF!</f>
        <v>#REF!</v>
      </c>
      <c r="R5">
        <f>1342.06+943.87+980.117+218.813</f>
        <v>3484.8599999999997</v>
      </c>
      <c r="S5" t="e">
        <f>#REF!+#REF!+#REF!+#REF!</f>
        <v>#REF!</v>
      </c>
    </row>
    <row r="6" spans="1:25" ht="15" customHeight="1">
      <c r="A6" s="35" t="s">
        <v>24</v>
      </c>
      <c r="B6" s="18" t="s">
        <v>25</v>
      </c>
      <c r="C6" s="32">
        <v>539.9996475218</v>
      </c>
      <c r="D6" s="33"/>
      <c r="E6" s="33"/>
      <c r="F6" s="33"/>
      <c r="G6" s="32">
        <v>48</v>
      </c>
      <c r="H6" s="42">
        <v>87.98549661359002</v>
      </c>
      <c r="I6" s="42">
        <v>19.157392417494396</v>
      </c>
      <c r="J6" s="33">
        <v>1192.0747504215014</v>
      </c>
      <c r="K6" s="33">
        <v>572</v>
      </c>
      <c r="L6" s="33"/>
      <c r="M6" s="33"/>
      <c r="N6" s="33">
        <v>620.0747504215014</v>
      </c>
      <c r="O6" s="8"/>
      <c r="P6" t="s">
        <v>26</v>
      </c>
      <c r="Q6" s="30" t="e">
        <f>#REF!+#REF!+#REF!+#REF!</f>
        <v>#REF!</v>
      </c>
      <c r="R6" s="30">
        <v>86495</v>
      </c>
      <c r="S6" s="30">
        <v>86495</v>
      </c>
      <c r="W6" t="s">
        <v>27</v>
      </c>
      <c r="X6" t="s">
        <v>28</v>
      </c>
      <c r="Y6" t="s">
        <v>29</v>
      </c>
    </row>
    <row r="7" spans="1:24" ht="15" customHeight="1">
      <c r="A7" s="20" t="s">
        <v>30</v>
      </c>
      <c r="B7" s="19" t="s">
        <v>31</v>
      </c>
      <c r="C7" s="19">
        <v>110.24000000000001</v>
      </c>
      <c r="D7" s="48"/>
      <c r="E7" s="48"/>
      <c r="F7" s="48"/>
      <c r="G7" s="20">
        <v>15</v>
      </c>
      <c r="H7" s="37">
        <v>14.237168</v>
      </c>
      <c r="I7" s="37">
        <v>8.729220799999998</v>
      </c>
      <c r="J7" s="19">
        <v>221.051855672</v>
      </c>
      <c r="K7" s="19">
        <v>82.25200000000001</v>
      </c>
      <c r="L7" s="48"/>
      <c r="M7" s="48"/>
      <c r="N7" s="19">
        <v>138.79985567199998</v>
      </c>
      <c r="O7" s="8"/>
      <c r="P7" t="s">
        <v>15</v>
      </c>
      <c r="Q7" s="30" t="e">
        <f>#REF!+#REF!+#REF!+#REF!</f>
        <v>#REF!</v>
      </c>
      <c r="R7">
        <v>450000</v>
      </c>
      <c r="T7" s="53"/>
      <c r="W7">
        <f>W8+W9</f>
        <v>48</v>
      </c>
      <c r="X7">
        <f>X8+X9+X10</f>
        <v>539.9996475218</v>
      </c>
    </row>
    <row r="8" spans="1:24" ht="15" customHeight="1">
      <c r="A8" s="9">
        <v>1</v>
      </c>
      <c r="B8" s="9" t="s">
        <v>32</v>
      </c>
      <c r="C8" s="19">
        <v>4.272</v>
      </c>
      <c r="D8" s="48"/>
      <c r="E8" s="48"/>
      <c r="F8" s="48"/>
      <c r="G8" s="49">
        <v>5</v>
      </c>
      <c r="H8" s="37">
        <v>5.5775950000000005</v>
      </c>
      <c r="I8" s="37">
        <v>2.8436</v>
      </c>
      <c r="J8" s="19">
        <v>80.97</v>
      </c>
      <c r="K8" s="19">
        <v>42.72</v>
      </c>
      <c r="L8" s="48"/>
      <c r="M8" s="48"/>
      <c r="N8" s="19">
        <v>38.25</v>
      </c>
      <c r="O8" s="8"/>
      <c r="P8" t="s">
        <v>17</v>
      </c>
      <c r="R8">
        <f>R6+R7</f>
        <v>536495</v>
      </c>
      <c r="T8" s="53">
        <f>C8/1000</f>
        <v>0.004272000000000001</v>
      </c>
      <c r="V8" t="s">
        <v>33</v>
      </c>
      <c r="W8">
        <f>G8+G13+G18+G22+G31+G40+G45+G50</f>
        <v>16</v>
      </c>
      <c r="X8">
        <f>C8+C13+C18+C22+C31+C40+C45+C50</f>
        <v>38</v>
      </c>
    </row>
    <row r="9" spans="1:24" ht="15" customHeight="1">
      <c r="A9" s="9">
        <v>2</v>
      </c>
      <c r="B9" s="9" t="s">
        <v>34</v>
      </c>
      <c r="C9" s="19">
        <v>9.883000000000001</v>
      </c>
      <c r="D9" s="48"/>
      <c r="E9" s="48"/>
      <c r="F9" s="48"/>
      <c r="G9" s="49">
        <v>10</v>
      </c>
      <c r="H9" s="37">
        <v>4.399768</v>
      </c>
      <c r="I9" s="37">
        <v>4.3649</v>
      </c>
      <c r="J9" s="19">
        <v>93.36</v>
      </c>
      <c r="K9" s="19">
        <v>39.532000000000004</v>
      </c>
      <c r="L9" s="48"/>
      <c r="M9" s="48"/>
      <c r="N9" s="19">
        <v>53.827999999999996</v>
      </c>
      <c r="O9" s="8"/>
      <c r="P9" t="s">
        <v>20</v>
      </c>
      <c r="Q9" s="30" t="e">
        <f>#REF!+#REF!+#REF!+#REF!</f>
        <v>#REF!</v>
      </c>
      <c r="R9">
        <f>C8+C9+C13+C14+C18+C22+C23+C50+C27+C31+C32+C36+C40+C41+C45+C46</f>
        <v>85.99999999999999</v>
      </c>
      <c r="T9" s="53">
        <f>C9/1000</f>
        <v>0.009883000000000001</v>
      </c>
      <c r="V9" t="s">
        <v>35</v>
      </c>
      <c r="W9">
        <f>G9+G14+G23+G27+G32+G36+G41+G46</f>
        <v>32</v>
      </c>
      <c r="X9">
        <f>C9+C14+C23+C32+C41+C46+C27+C36</f>
        <v>48</v>
      </c>
    </row>
    <row r="10" spans="1:24" ht="15" customHeight="1">
      <c r="A10" s="9">
        <v>3</v>
      </c>
      <c r="B10" s="9" t="s">
        <v>36</v>
      </c>
      <c r="C10" s="19">
        <v>25.623</v>
      </c>
      <c r="D10" s="48"/>
      <c r="E10" s="19"/>
      <c r="F10" s="19"/>
      <c r="G10" s="20"/>
      <c r="H10" s="37">
        <v>3.202875</v>
      </c>
      <c r="I10" s="37">
        <v>1.28115</v>
      </c>
      <c r="J10" s="48">
        <v>36.2437335</v>
      </c>
      <c r="K10" s="48"/>
      <c r="L10" s="48"/>
      <c r="M10" s="48"/>
      <c r="N10" s="19">
        <v>36.2437335</v>
      </c>
      <c r="O10" s="8"/>
      <c r="P10" t="s">
        <v>33</v>
      </c>
      <c r="Q10" s="30">
        <f>C8+C13+C18+C22+C31+C40+C45+C50</f>
        <v>38</v>
      </c>
      <c r="T10" s="53">
        <f>C10/1000</f>
        <v>0.025623</v>
      </c>
      <c r="X10">
        <f>C10+C11+C15+C16+C19+C20+C24+C25+C29+C28+C33+C34+C37+C38+C42+C43+C47+C48+C51+C52</f>
        <v>453.99964752179994</v>
      </c>
    </row>
    <row r="11" spans="1:20" ht="15" customHeight="1">
      <c r="A11" s="9">
        <v>4</v>
      </c>
      <c r="B11" s="9" t="s">
        <v>37</v>
      </c>
      <c r="C11" s="19">
        <v>70.462</v>
      </c>
      <c r="D11" s="48"/>
      <c r="E11" s="48"/>
      <c r="F11" s="48"/>
      <c r="G11" s="49"/>
      <c r="H11" s="37">
        <v>1.05693</v>
      </c>
      <c r="I11" s="37">
        <v>0.23957080000000003</v>
      </c>
      <c r="J11" s="48">
        <v>10.478122171999999</v>
      </c>
      <c r="K11" s="48"/>
      <c r="L11" s="48"/>
      <c r="M11" s="48"/>
      <c r="N11" s="19">
        <v>10.478122171999999</v>
      </c>
      <c r="O11" s="8"/>
      <c r="P11" t="s">
        <v>35</v>
      </c>
      <c r="Q11" s="30" t="e">
        <f>C9+C14+C23+C27+C32+C36+C41+C46+#REF!</f>
        <v>#REF!</v>
      </c>
      <c r="T11" s="53">
        <f>C11/1000</f>
        <v>0.070462</v>
      </c>
    </row>
    <row r="12" spans="1:15" ht="15" customHeight="1">
      <c r="A12" s="20" t="s">
        <v>38</v>
      </c>
      <c r="B12" s="19" t="s">
        <v>39</v>
      </c>
      <c r="C12" s="19">
        <v>71.00399999999999</v>
      </c>
      <c r="D12" s="48"/>
      <c r="E12" s="48"/>
      <c r="F12" s="48"/>
      <c r="G12" s="20">
        <v>4</v>
      </c>
      <c r="H12" s="37">
        <v>14.239510000000001</v>
      </c>
      <c r="I12" s="37">
        <v>3.964596</v>
      </c>
      <c r="J12" s="19">
        <v>181.14143864000002</v>
      </c>
      <c r="K12" s="19">
        <v>109.74000000000001</v>
      </c>
      <c r="L12" s="48"/>
      <c r="M12" s="48"/>
      <c r="N12" s="19">
        <v>71.40143864</v>
      </c>
      <c r="O12" s="8"/>
    </row>
    <row r="13" spans="1:20" ht="15" customHeight="1">
      <c r="A13" s="9">
        <v>1</v>
      </c>
      <c r="B13" s="9" t="s">
        <v>40</v>
      </c>
      <c r="C13" s="19">
        <v>9.99</v>
      </c>
      <c r="D13" s="9"/>
      <c r="E13" s="9"/>
      <c r="F13" s="9"/>
      <c r="G13" s="49">
        <v>2</v>
      </c>
      <c r="H13" s="37">
        <v>10.8741</v>
      </c>
      <c r="I13" s="37">
        <v>1.8703</v>
      </c>
      <c r="J13" s="19">
        <v>132.09</v>
      </c>
      <c r="K13" s="19">
        <v>99.9</v>
      </c>
      <c r="L13" s="19"/>
      <c r="M13" s="19"/>
      <c r="N13" s="19">
        <v>32.19</v>
      </c>
      <c r="O13" s="8"/>
      <c r="T13" s="53">
        <f>C13/1000</f>
        <v>0.00999</v>
      </c>
    </row>
    <row r="14" spans="1:20" ht="15" customHeight="1">
      <c r="A14" s="9">
        <v>2</v>
      </c>
      <c r="B14" s="9" t="s">
        <v>41</v>
      </c>
      <c r="C14" s="19">
        <v>2.46</v>
      </c>
      <c r="D14" s="9"/>
      <c r="E14" s="9"/>
      <c r="F14" s="9"/>
      <c r="G14" s="49">
        <v>2</v>
      </c>
      <c r="H14" s="37">
        <v>0.76956</v>
      </c>
      <c r="I14" s="37">
        <v>1.1676</v>
      </c>
      <c r="J14" s="19">
        <v>20.58</v>
      </c>
      <c r="K14" s="19">
        <v>9.84</v>
      </c>
      <c r="L14" s="19"/>
      <c r="M14" s="19"/>
      <c r="N14" s="19">
        <v>10.739999999999998</v>
      </c>
      <c r="O14" s="8"/>
      <c r="T14" s="53">
        <f>C14/1000</f>
        <v>0.00246</v>
      </c>
    </row>
    <row r="15" spans="1:20" ht="15" customHeight="1">
      <c r="A15" s="9">
        <v>3</v>
      </c>
      <c r="B15" s="9" t="s">
        <v>42</v>
      </c>
      <c r="C15" s="19">
        <v>15.614</v>
      </c>
      <c r="D15" s="9"/>
      <c r="E15" s="9"/>
      <c r="F15" s="9"/>
      <c r="G15" s="20"/>
      <c r="H15" s="37">
        <v>1.95175</v>
      </c>
      <c r="I15" s="37">
        <v>0.7807000000000001</v>
      </c>
      <c r="J15" s="19">
        <v>22.086003</v>
      </c>
      <c r="K15" s="19"/>
      <c r="L15" s="19"/>
      <c r="M15" s="19"/>
      <c r="N15" s="19">
        <v>22.086003</v>
      </c>
      <c r="O15" s="8"/>
      <c r="T15" s="53">
        <f>C15/1000</f>
        <v>0.015614000000000001</v>
      </c>
    </row>
    <row r="16" spans="1:20" ht="15" customHeight="1">
      <c r="A16" s="9">
        <v>4</v>
      </c>
      <c r="B16" s="9" t="s">
        <v>43</v>
      </c>
      <c r="C16" s="19">
        <v>42.94</v>
      </c>
      <c r="D16" s="9"/>
      <c r="E16" s="9"/>
      <c r="F16" s="9"/>
      <c r="G16" s="20"/>
      <c r="H16" s="37">
        <v>0.6441</v>
      </c>
      <c r="I16" s="37">
        <v>0.145996</v>
      </c>
      <c r="J16" s="19">
        <v>6.38543564</v>
      </c>
      <c r="K16" s="19"/>
      <c r="L16" s="19"/>
      <c r="M16" s="19"/>
      <c r="N16" s="19">
        <v>6.38543564</v>
      </c>
      <c r="O16" s="8"/>
      <c r="T16" s="53">
        <f>C16/1000</f>
        <v>0.04294</v>
      </c>
    </row>
    <row r="17" spans="1:15" ht="15" customHeight="1">
      <c r="A17" s="20" t="s">
        <v>44</v>
      </c>
      <c r="B17" s="19" t="s">
        <v>45</v>
      </c>
      <c r="C17" s="19">
        <v>10</v>
      </c>
      <c r="D17" s="48"/>
      <c r="E17" s="48"/>
      <c r="F17" s="48"/>
      <c r="G17" s="20">
        <v>1</v>
      </c>
      <c r="H17" s="37">
        <v>3.7913300000000003</v>
      </c>
      <c r="I17" s="37">
        <v>0.3231498</v>
      </c>
      <c r="J17" s="19">
        <v>48.563711282</v>
      </c>
      <c r="K17" s="19">
        <v>23</v>
      </c>
      <c r="L17" s="48"/>
      <c r="M17" s="48"/>
      <c r="N17" s="19">
        <v>25.563711282</v>
      </c>
      <c r="O17" s="8"/>
    </row>
    <row r="18" spans="1:20" ht="15" customHeight="1">
      <c r="A18" s="9">
        <v>1</v>
      </c>
      <c r="B18" s="9" t="s">
        <v>46</v>
      </c>
      <c r="C18" s="19">
        <v>2.3</v>
      </c>
      <c r="D18" s="9"/>
      <c r="E18" s="9"/>
      <c r="F18" s="9"/>
      <c r="G18" s="49">
        <v>1</v>
      </c>
      <c r="H18" s="37">
        <v>3.45</v>
      </c>
      <c r="I18" s="37">
        <v>0.2013</v>
      </c>
      <c r="J18" s="19">
        <v>44.82</v>
      </c>
      <c r="K18" s="19">
        <v>23</v>
      </c>
      <c r="L18" s="19"/>
      <c r="M18" s="19"/>
      <c r="N18" s="19">
        <v>21.82</v>
      </c>
      <c r="O18" s="8"/>
      <c r="T18" s="53">
        <f>C18/1000</f>
        <v>0.0023</v>
      </c>
    </row>
    <row r="19" spans="1:20" ht="15" customHeight="1">
      <c r="A19" s="9">
        <v>2</v>
      </c>
      <c r="B19" s="9" t="s">
        <v>47</v>
      </c>
      <c r="C19" s="19">
        <v>2.053</v>
      </c>
      <c r="D19" s="9"/>
      <c r="E19" s="9"/>
      <c r="F19" s="9"/>
      <c r="G19" s="49"/>
      <c r="H19" s="37">
        <v>0.256625</v>
      </c>
      <c r="I19" s="37">
        <v>0.10264999999999999</v>
      </c>
      <c r="J19" s="19">
        <v>2.9039685</v>
      </c>
      <c r="K19" s="19"/>
      <c r="L19" s="19"/>
      <c r="M19" s="19"/>
      <c r="N19" s="19">
        <v>2.9039685</v>
      </c>
      <c r="O19" s="8"/>
      <c r="T19" s="53">
        <f>C19/1000</f>
        <v>0.002053</v>
      </c>
    </row>
    <row r="20" spans="1:20" ht="15" customHeight="1">
      <c r="A20" s="9">
        <v>3</v>
      </c>
      <c r="B20" s="9" t="s">
        <v>48</v>
      </c>
      <c r="C20" s="19">
        <v>5.647</v>
      </c>
      <c r="D20" s="9"/>
      <c r="E20" s="9"/>
      <c r="F20" s="9"/>
      <c r="G20" s="20"/>
      <c r="H20" s="37">
        <v>0.084705</v>
      </c>
      <c r="I20" s="37">
        <v>0.019199800000000003</v>
      </c>
      <c r="J20" s="19">
        <v>0.8397427820000001</v>
      </c>
      <c r="K20" s="19"/>
      <c r="L20" s="19"/>
      <c r="M20" s="19"/>
      <c r="N20" s="19">
        <v>0.8397427820000001</v>
      </c>
      <c r="O20" s="8"/>
      <c r="T20" s="53">
        <f>C20/1000</f>
        <v>0.005647</v>
      </c>
    </row>
    <row r="21" spans="1:15" ht="15" customHeight="1">
      <c r="A21" s="20" t="s">
        <v>49</v>
      </c>
      <c r="B21" s="19" t="s">
        <v>50</v>
      </c>
      <c r="C21" s="19">
        <v>80.65100000000001</v>
      </c>
      <c r="D21" s="48"/>
      <c r="E21" s="48"/>
      <c r="F21" s="48"/>
      <c r="G21" s="20">
        <v>4</v>
      </c>
      <c r="H21" s="37">
        <v>15.730635</v>
      </c>
      <c r="I21" s="37">
        <v>1.4741955999999998</v>
      </c>
      <c r="J21" s="19">
        <v>199.93532720399998</v>
      </c>
      <c r="K21" s="19">
        <v>91.8</v>
      </c>
      <c r="L21" s="48"/>
      <c r="M21" s="48"/>
      <c r="N21" s="19">
        <v>108.135327204</v>
      </c>
      <c r="O21" s="8"/>
    </row>
    <row r="22" spans="1:20" ht="15" customHeight="1">
      <c r="A22" s="9">
        <v>1</v>
      </c>
      <c r="B22" s="9" t="s">
        <v>51</v>
      </c>
      <c r="C22" s="19">
        <v>4.7</v>
      </c>
      <c r="D22" s="9"/>
      <c r="E22" s="9"/>
      <c r="F22" s="9"/>
      <c r="G22" s="49">
        <v>1</v>
      </c>
      <c r="H22" s="37">
        <v>5.64</v>
      </c>
      <c r="I22" s="37">
        <v>0.4113</v>
      </c>
      <c r="J22" s="19">
        <v>67.81</v>
      </c>
      <c r="K22" s="19">
        <v>47</v>
      </c>
      <c r="L22" s="19"/>
      <c r="M22" s="19"/>
      <c r="N22" s="19">
        <v>20.810000000000002</v>
      </c>
      <c r="O22" s="8"/>
      <c r="T22" s="53">
        <f>C22/1000</f>
        <v>0.0047</v>
      </c>
    </row>
    <row r="23" spans="1:20" ht="15" customHeight="1">
      <c r="A23" s="9">
        <v>2</v>
      </c>
      <c r="B23" s="9" t="s">
        <v>52</v>
      </c>
      <c r="C23" s="19">
        <v>11.2</v>
      </c>
      <c r="D23" s="9"/>
      <c r="E23" s="9"/>
      <c r="F23" s="9"/>
      <c r="G23" s="49">
        <v>3</v>
      </c>
      <c r="H23" s="37">
        <v>7.22</v>
      </c>
      <c r="I23" s="37">
        <v>0.0381</v>
      </c>
      <c r="J23" s="19">
        <v>100.64</v>
      </c>
      <c r="K23" s="19">
        <v>44.8</v>
      </c>
      <c r="L23" s="19"/>
      <c r="M23" s="19"/>
      <c r="N23" s="19">
        <v>55.84</v>
      </c>
      <c r="O23" s="8"/>
      <c r="T23" s="53">
        <f>C23/1000</f>
        <v>0.0112</v>
      </c>
    </row>
    <row r="24" spans="1:20" ht="15" customHeight="1">
      <c r="A24" s="9">
        <v>3</v>
      </c>
      <c r="B24" s="9" t="s">
        <v>53</v>
      </c>
      <c r="C24" s="19">
        <v>17.267</v>
      </c>
      <c r="D24" s="9"/>
      <c r="E24" s="9"/>
      <c r="F24" s="9"/>
      <c r="G24" s="20"/>
      <c r="H24" s="37">
        <v>2.158375</v>
      </c>
      <c r="I24" s="37">
        <v>0.86335</v>
      </c>
      <c r="J24" s="19">
        <v>24.424171500000003</v>
      </c>
      <c r="K24" s="19"/>
      <c r="L24" s="19"/>
      <c r="M24" s="19"/>
      <c r="N24" s="19">
        <v>24.424171500000003</v>
      </c>
      <c r="O24" s="8"/>
      <c r="T24" s="53">
        <f>C24/1000</f>
        <v>0.017267</v>
      </c>
    </row>
    <row r="25" spans="1:20" ht="15" customHeight="1">
      <c r="A25" s="9">
        <v>4</v>
      </c>
      <c r="B25" s="9" t="s">
        <v>54</v>
      </c>
      <c r="C25" s="19">
        <v>47.484</v>
      </c>
      <c r="D25" s="9"/>
      <c r="E25" s="9"/>
      <c r="F25" s="9"/>
      <c r="G25" s="20"/>
      <c r="H25" s="37">
        <v>0.71226</v>
      </c>
      <c r="I25" s="37">
        <v>0.16144560000000002</v>
      </c>
      <c r="J25" s="19">
        <v>7.061155704</v>
      </c>
      <c r="K25" s="19"/>
      <c r="L25" s="19"/>
      <c r="M25" s="19"/>
      <c r="N25" s="19">
        <v>7.061155704</v>
      </c>
      <c r="O25" s="8"/>
      <c r="T25" s="53">
        <f>C25/1000</f>
        <v>0.047484</v>
      </c>
    </row>
    <row r="26" spans="1:15" ht="15" customHeight="1">
      <c r="A26" s="20" t="s">
        <v>55</v>
      </c>
      <c r="B26" s="19" t="s">
        <v>56</v>
      </c>
      <c r="C26" s="19">
        <v>18.8391634</v>
      </c>
      <c r="D26" s="48"/>
      <c r="E26" s="48"/>
      <c r="F26" s="48"/>
      <c r="G26" s="20">
        <v>1</v>
      </c>
      <c r="H26" s="37">
        <v>2.657876657</v>
      </c>
      <c r="I26" s="37">
        <v>0.42685749192000005</v>
      </c>
      <c r="J26" s="19">
        <v>39.9256404981928</v>
      </c>
      <c r="K26" s="19">
        <v>16</v>
      </c>
      <c r="L26" s="48"/>
      <c r="M26" s="48"/>
      <c r="N26" s="19">
        <v>23.9256404981928</v>
      </c>
      <c r="O26" s="8"/>
    </row>
    <row r="27" spans="1:20" ht="15" customHeight="1">
      <c r="A27" s="9">
        <v>1</v>
      </c>
      <c r="B27" s="9" t="s">
        <v>57</v>
      </c>
      <c r="C27" s="19">
        <v>4</v>
      </c>
      <c r="D27" s="9"/>
      <c r="E27" s="9"/>
      <c r="F27" s="9"/>
      <c r="G27" s="49">
        <v>1</v>
      </c>
      <c r="H27" s="37">
        <v>2</v>
      </c>
      <c r="I27" s="37">
        <v>0.192</v>
      </c>
      <c r="J27" s="19">
        <v>32.71</v>
      </c>
      <c r="K27" s="19">
        <v>16</v>
      </c>
      <c r="L27" s="19"/>
      <c r="M27" s="19"/>
      <c r="N27" s="19">
        <v>16.71</v>
      </c>
      <c r="O27" s="8"/>
      <c r="T27" s="53">
        <f>C27/1000</f>
        <v>0.004</v>
      </c>
    </row>
    <row r="28" spans="1:20" ht="15" customHeight="1">
      <c r="A28" s="9">
        <v>2</v>
      </c>
      <c r="B28" s="9" t="s">
        <v>58</v>
      </c>
      <c r="C28" s="19">
        <v>3.9571746</v>
      </c>
      <c r="D28" s="9"/>
      <c r="E28" s="9"/>
      <c r="F28" s="9"/>
      <c r="G28" s="20"/>
      <c r="H28" s="37">
        <v>0.49464682500000007</v>
      </c>
      <c r="I28" s="37">
        <v>0.19785873</v>
      </c>
      <c r="J28" s="19">
        <v>5.597423471699999</v>
      </c>
      <c r="K28" s="19"/>
      <c r="L28" s="19"/>
      <c r="M28" s="19"/>
      <c r="N28" s="19">
        <v>5.597423471699999</v>
      </c>
      <c r="O28" s="9"/>
      <c r="P28" s="41"/>
      <c r="Q28" s="9"/>
      <c r="R28" s="9"/>
      <c r="T28" s="53">
        <f>C28/1000</f>
        <v>0.0039571746</v>
      </c>
    </row>
    <row r="29" spans="1:20" ht="15" customHeight="1">
      <c r="A29" s="9">
        <v>3</v>
      </c>
      <c r="B29" s="9" t="s">
        <v>59</v>
      </c>
      <c r="C29" s="19">
        <v>10.8819888</v>
      </c>
      <c r="D29" s="9"/>
      <c r="E29" s="9"/>
      <c r="F29" s="9"/>
      <c r="G29" s="20"/>
      <c r="H29" s="37">
        <v>0.16322983200000002</v>
      </c>
      <c r="I29" s="37">
        <v>0.036998761920000005</v>
      </c>
      <c r="J29" s="19">
        <v>1.6182170264927997</v>
      </c>
      <c r="K29" s="19"/>
      <c r="L29" s="19"/>
      <c r="M29" s="19"/>
      <c r="N29" s="19">
        <v>1.6182170264927997</v>
      </c>
      <c r="O29" s="9"/>
      <c r="P29" s="41"/>
      <c r="Q29" s="9"/>
      <c r="R29" s="9"/>
      <c r="T29" s="53">
        <f>C29/1000</f>
        <v>0.0108819888</v>
      </c>
    </row>
    <row r="30" spans="1:18" ht="15" customHeight="1">
      <c r="A30" s="20" t="s">
        <v>60</v>
      </c>
      <c r="B30" s="19" t="s">
        <v>61</v>
      </c>
      <c r="C30" s="19">
        <v>77.743</v>
      </c>
      <c r="D30" s="48"/>
      <c r="E30" s="9"/>
      <c r="F30" s="9"/>
      <c r="G30" s="20">
        <v>6</v>
      </c>
      <c r="H30" s="37">
        <v>10.424895000000001</v>
      </c>
      <c r="I30" s="37">
        <v>1.6141012</v>
      </c>
      <c r="J30" s="19">
        <v>132.919020308</v>
      </c>
      <c r="K30" s="19">
        <v>71.64</v>
      </c>
      <c r="L30" s="19"/>
      <c r="M30" s="19"/>
      <c r="N30" s="19">
        <v>61.27902030799999</v>
      </c>
      <c r="O30" s="9"/>
      <c r="P30" s="41"/>
      <c r="Q30" s="9"/>
      <c r="R30" s="9"/>
    </row>
    <row r="31" spans="1:20" ht="15" customHeight="1">
      <c r="A31" s="9">
        <v>1</v>
      </c>
      <c r="B31" s="9" t="s">
        <v>62</v>
      </c>
      <c r="C31" s="19">
        <v>5.9</v>
      </c>
      <c r="D31" s="9"/>
      <c r="E31" s="9"/>
      <c r="F31" s="9"/>
      <c r="G31" s="49">
        <v>3</v>
      </c>
      <c r="H31" s="37">
        <v>5.9</v>
      </c>
      <c r="I31" s="37">
        <v>0.5164</v>
      </c>
      <c r="J31" s="19">
        <v>75.586556</v>
      </c>
      <c r="K31" s="19">
        <v>59</v>
      </c>
      <c r="L31" s="19"/>
      <c r="M31" s="19"/>
      <c r="N31" s="19">
        <v>16.586556</v>
      </c>
      <c r="O31" s="9"/>
      <c r="P31" s="41"/>
      <c r="Q31" s="9"/>
      <c r="R31" s="9"/>
      <c r="T31" s="53">
        <f>C31/1000</f>
        <v>0.005900000000000001</v>
      </c>
    </row>
    <row r="32" spans="1:20" ht="15" customHeight="1">
      <c r="A32" s="9">
        <v>2</v>
      </c>
      <c r="B32" s="9" t="s">
        <v>63</v>
      </c>
      <c r="C32" s="19">
        <v>3.16</v>
      </c>
      <c r="D32" s="9"/>
      <c r="E32" s="9"/>
      <c r="F32" s="9"/>
      <c r="G32" s="49">
        <v>3</v>
      </c>
      <c r="H32" s="37">
        <v>1.48</v>
      </c>
      <c r="I32" s="37">
        <v>0.0107</v>
      </c>
      <c r="J32" s="19">
        <v>23.935873</v>
      </c>
      <c r="K32" s="19">
        <v>12.64</v>
      </c>
      <c r="L32" s="19"/>
      <c r="M32" s="19"/>
      <c r="N32" s="19">
        <v>11.295873</v>
      </c>
      <c r="O32" s="8"/>
      <c r="T32" s="53">
        <f>C32/1000</f>
        <v>0.00316</v>
      </c>
    </row>
    <row r="33" spans="1:20" ht="15" customHeight="1">
      <c r="A33" s="9">
        <v>3</v>
      </c>
      <c r="B33" s="9" t="s">
        <v>64</v>
      </c>
      <c r="C33" s="19">
        <v>18.315</v>
      </c>
      <c r="D33" s="9"/>
      <c r="E33" s="9"/>
      <c r="F33" s="9"/>
      <c r="G33" s="20"/>
      <c r="H33" s="37">
        <v>2.289375</v>
      </c>
      <c r="I33" s="37">
        <v>0.9157500000000001</v>
      </c>
      <c r="J33" s="19">
        <v>25.906567499999998</v>
      </c>
      <c r="K33" s="19"/>
      <c r="L33" s="19"/>
      <c r="M33" s="19"/>
      <c r="N33" s="19">
        <v>25.906567499999998</v>
      </c>
      <c r="O33" s="8"/>
      <c r="T33" s="53">
        <f>C33/1000</f>
        <v>0.018315</v>
      </c>
    </row>
    <row r="34" spans="1:20" ht="15" customHeight="1">
      <c r="A34" s="9">
        <v>4</v>
      </c>
      <c r="B34" s="9" t="s">
        <v>65</v>
      </c>
      <c r="C34" s="19">
        <v>50.368</v>
      </c>
      <c r="D34" s="9"/>
      <c r="E34" s="9"/>
      <c r="F34" s="9"/>
      <c r="G34" s="20"/>
      <c r="H34" s="37">
        <v>0.75552</v>
      </c>
      <c r="I34" s="37">
        <v>0.17125120000000002</v>
      </c>
      <c r="J34" s="19">
        <v>7.490023807999999</v>
      </c>
      <c r="K34" s="19"/>
      <c r="L34" s="19"/>
      <c r="M34" s="19"/>
      <c r="N34" s="19">
        <v>7.490023807999999</v>
      </c>
      <c r="O34" s="8"/>
      <c r="T34" s="53">
        <f>C34/1000</f>
        <v>0.050368</v>
      </c>
    </row>
    <row r="35" spans="1:15" ht="15" customHeight="1">
      <c r="A35" s="20" t="s">
        <v>66</v>
      </c>
      <c r="B35" s="19" t="s">
        <v>67</v>
      </c>
      <c r="C35" s="19">
        <v>30.679</v>
      </c>
      <c r="D35" s="48"/>
      <c r="E35" s="48"/>
      <c r="F35" s="48"/>
      <c r="G35" s="20">
        <v>3</v>
      </c>
      <c r="H35" s="37">
        <v>3.533995</v>
      </c>
      <c r="I35" s="37">
        <v>0.4221271999999999</v>
      </c>
      <c r="J35" s="19">
        <v>51.068663648000005</v>
      </c>
      <c r="K35" s="19">
        <v>20.4</v>
      </c>
      <c r="L35" s="48"/>
      <c r="M35" s="48"/>
      <c r="N35" s="19">
        <v>30.668663648000006</v>
      </c>
      <c r="O35" s="8"/>
    </row>
    <row r="36" spans="1:20" ht="15" customHeight="1">
      <c r="A36" s="9">
        <v>1</v>
      </c>
      <c r="B36" s="9" t="s">
        <v>68</v>
      </c>
      <c r="C36" s="19">
        <v>5.1</v>
      </c>
      <c r="D36" s="9"/>
      <c r="E36" s="9"/>
      <c r="F36" s="9"/>
      <c r="G36" s="49">
        <v>3</v>
      </c>
      <c r="H36" s="37">
        <v>2.4</v>
      </c>
      <c r="I36" s="37">
        <v>0.0173</v>
      </c>
      <c r="J36" s="19">
        <v>38.630932</v>
      </c>
      <c r="K36" s="19">
        <v>20.4</v>
      </c>
      <c r="L36" s="19"/>
      <c r="M36" s="19"/>
      <c r="N36" s="19">
        <v>18.230932000000003</v>
      </c>
      <c r="O36" s="8"/>
      <c r="T36" s="53">
        <f>C36/1000</f>
        <v>0.0050999999999999995</v>
      </c>
    </row>
    <row r="37" spans="1:20" ht="15" customHeight="1">
      <c r="A37" s="9">
        <v>2</v>
      </c>
      <c r="B37" s="9" t="s">
        <v>69</v>
      </c>
      <c r="C37" s="19">
        <v>6.821</v>
      </c>
      <c r="D37" s="9"/>
      <c r="E37" s="9"/>
      <c r="F37" s="9"/>
      <c r="G37" s="49"/>
      <c r="H37" s="37">
        <v>0.852625</v>
      </c>
      <c r="I37" s="37">
        <v>0.34104999999999996</v>
      </c>
      <c r="J37" s="19">
        <v>9.648304500000002</v>
      </c>
      <c r="K37" s="19"/>
      <c r="L37" s="19"/>
      <c r="M37" s="19"/>
      <c r="N37" s="19">
        <v>9.648304500000002</v>
      </c>
      <c r="O37" s="8"/>
      <c r="T37" s="53">
        <f>C37/1000</f>
        <v>0.006821</v>
      </c>
    </row>
    <row r="38" spans="1:20" ht="15" customHeight="1">
      <c r="A38" s="9">
        <v>3</v>
      </c>
      <c r="B38" s="9" t="s">
        <v>70</v>
      </c>
      <c r="C38" s="19">
        <v>18.758</v>
      </c>
      <c r="D38" s="9"/>
      <c r="E38" s="9"/>
      <c r="F38" s="9"/>
      <c r="G38" s="20"/>
      <c r="H38" s="37">
        <v>0.28137</v>
      </c>
      <c r="I38" s="37">
        <v>0.0637772</v>
      </c>
      <c r="J38" s="19">
        <v>2.789427148</v>
      </c>
      <c r="K38" s="19"/>
      <c r="L38" s="19"/>
      <c r="M38" s="19"/>
      <c r="N38" s="19">
        <v>2.789427148</v>
      </c>
      <c r="O38" s="8"/>
      <c r="T38" s="53">
        <f>C38/1000</f>
        <v>0.018758</v>
      </c>
    </row>
    <row r="39" spans="1:15" ht="15" customHeight="1">
      <c r="A39" s="20" t="s">
        <v>71</v>
      </c>
      <c r="B39" s="19" t="s">
        <v>72</v>
      </c>
      <c r="C39" s="19">
        <v>41.704</v>
      </c>
      <c r="D39" s="48"/>
      <c r="E39" s="48"/>
      <c r="F39" s="48"/>
      <c r="G39" s="20">
        <v>6</v>
      </c>
      <c r="H39" s="37">
        <v>5.595025</v>
      </c>
      <c r="I39" s="37">
        <v>0.56793315</v>
      </c>
      <c r="J39" s="19">
        <v>85.19596961</v>
      </c>
      <c r="K39" s="19">
        <v>37.234</v>
      </c>
      <c r="L39" s="48"/>
      <c r="M39" s="48"/>
      <c r="N39" s="19">
        <v>47.96196961</v>
      </c>
      <c r="O39" s="8"/>
    </row>
    <row r="40" spans="1:20" ht="15" customHeight="1">
      <c r="A40" s="9">
        <v>1</v>
      </c>
      <c r="B40" s="9" t="s">
        <v>73</v>
      </c>
      <c r="C40" s="19">
        <v>0.981</v>
      </c>
      <c r="D40" s="9"/>
      <c r="E40" s="9"/>
      <c r="F40" s="9"/>
      <c r="G40" s="49">
        <v>1</v>
      </c>
      <c r="H40" s="37">
        <v>1.0791</v>
      </c>
      <c r="I40" s="37">
        <v>0.008583750000000001</v>
      </c>
      <c r="J40" s="19">
        <v>14.437954</v>
      </c>
      <c r="K40" s="19">
        <v>9.81</v>
      </c>
      <c r="L40" s="19"/>
      <c r="M40" s="19"/>
      <c r="N40" s="19">
        <v>4.627953999999999</v>
      </c>
      <c r="O40" s="8"/>
      <c r="T40" s="53">
        <f>C40/1000</f>
        <v>0.0009809999999999999</v>
      </c>
    </row>
    <row r="41" spans="1:20" ht="15" customHeight="1">
      <c r="A41" s="9">
        <v>2</v>
      </c>
      <c r="B41" s="9" t="s">
        <v>74</v>
      </c>
      <c r="C41" s="19">
        <v>6.856</v>
      </c>
      <c r="D41" s="9"/>
      <c r="E41" s="9"/>
      <c r="F41" s="9"/>
      <c r="G41" s="49">
        <v>5</v>
      </c>
      <c r="H41" s="37">
        <v>3.0144</v>
      </c>
      <c r="I41" s="37">
        <v>0.023310400000000002</v>
      </c>
      <c r="J41" s="19">
        <v>54.2891381</v>
      </c>
      <c r="K41" s="19">
        <v>27.424000000000003</v>
      </c>
      <c r="L41" s="19"/>
      <c r="M41" s="19"/>
      <c r="N41" s="19">
        <v>26.8651381</v>
      </c>
      <c r="O41" s="8"/>
      <c r="T41" s="53">
        <f>C41/1000</f>
        <v>0.006856</v>
      </c>
    </row>
    <row r="42" spans="1:20" ht="15" customHeight="1">
      <c r="A42" s="9">
        <v>3</v>
      </c>
      <c r="B42" s="9" t="s">
        <v>75</v>
      </c>
      <c r="C42" s="19">
        <v>9.032</v>
      </c>
      <c r="D42" s="9"/>
      <c r="E42" s="9"/>
      <c r="F42" s="9"/>
      <c r="G42" s="20"/>
      <c r="H42" s="37">
        <v>1.129</v>
      </c>
      <c r="I42" s="37">
        <v>0.4516</v>
      </c>
      <c r="J42" s="19">
        <v>12.775764</v>
      </c>
      <c r="K42" s="19"/>
      <c r="L42" s="19"/>
      <c r="M42" s="19"/>
      <c r="N42" s="19">
        <v>12.775764</v>
      </c>
      <c r="O42" s="8"/>
      <c r="T42" s="53">
        <f>C42/1000</f>
        <v>0.009032</v>
      </c>
    </row>
    <row r="43" spans="1:20" ht="15" customHeight="1">
      <c r="A43" s="9">
        <v>4</v>
      </c>
      <c r="B43" s="9" t="s">
        <v>76</v>
      </c>
      <c r="C43" s="19">
        <v>24.835</v>
      </c>
      <c r="D43" s="9"/>
      <c r="E43" s="9"/>
      <c r="F43" s="9"/>
      <c r="G43" s="20"/>
      <c r="H43" s="37">
        <v>0.372525</v>
      </c>
      <c r="I43" s="37">
        <v>0.08443900000000001</v>
      </c>
      <c r="J43" s="19">
        <v>3.69311351</v>
      </c>
      <c r="K43" s="19"/>
      <c r="L43" s="19"/>
      <c r="M43" s="19"/>
      <c r="N43" s="19">
        <v>3.69311351</v>
      </c>
      <c r="O43" s="8"/>
      <c r="T43" s="53">
        <f>C43/1000</f>
        <v>0.024835</v>
      </c>
    </row>
    <row r="44" spans="1:15" ht="15" customHeight="1">
      <c r="A44" s="20" t="s">
        <v>77</v>
      </c>
      <c r="B44" s="19" t="s">
        <v>78</v>
      </c>
      <c r="C44" s="19">
        <v>60.66578586079999</v>
      </c>
      <c r="D44" s="48"/>
      <c r="E44" s="48"/>
      <c r="F44" s="48"/>
      <c r="G44" s="20">
        <v>7</v>
      </c>
      <c r="H44" s="37">
        <v>13.12859050656</v>
      </c>
      <c r="I44" s="37">
        <v>0.8466507609176</v>
      </c>
      <c r="J44" s="19">
        <v>175.47139401532817</v>
      </c>
      <c r="K44" s="19">
        <v>87.934</v>
      </c>
      <c r="L44" s="48"/>
      <c r="M44" s="48"/>
      <c r="N44" s="19">
        <v>87.53739401532818</v>
      </c>
      <c r="O44" s="8"/>
    </row>
    <row r="45" spans="1:20" ht="15" customHeight="1">
      <c r="A45" s="9">
        <v>1</v>
      </c>
      <c r="B45" s="9" t="s">
        <v>79</v>
      </c>
      <c r="C45" s="19">
        <v>6.657</v>
      </c>
      <c r="D45" s="9"/>
      <c r="E45" s="9"/>
      <c r="F45" s="9"/>
      <c r="G45" s="49">
        <v>2</v>
      </c>
      <c r="H45" s="37">
        <v>9.3567</v>
      </c>
      <c r="I45" s="37">
        <v>0.058248749999999995</v>
      </c>
      <c r="J45" s="19">
        <v>114.40969999999999</v>
      </c>
      <c r="K45" s="19">
        <v>66.57</v>
      </c>
      <c r="L45" s="19"/>
      <c r="M45" s="19"/>
      <c r="N45" s="19">
        <v>47.83969999999999</v>
      </c>
      <c r="O45" s="8"/>
      <c r="T45" s="53">
        <f>C45/1000</f>
        <v>0.006657</v>
      </c>
    </row>
    <row r="46" spans="1:20" ht="15" customHeight="1">
      <c r="A46" s="9">
        <v>2</v>
      </c>
      <c r="B46" s="9" t="s">
        <v>80</v>
      </c>
      <c r="C46" s="19">
        <v>5.341</v>
      </c>
      <c r="D46" s="9"/>
      <c r="E46" s="9"/>
      <c r="F46" s="9"/>
      <c r="G46" s="49">
        <v>5</v>
      </c>
      <c r="H46" s="37">
        <v>1.6142999999999998</v>
      </c>
      <c r="I46" s="37">
        <v>0.0181594</v>
      </c>
      <c r="J46" s="19">
        <v>37.3971</v>
      </c>
      <c r="K46" s="19">
        <v>21.364000000000004</v>
      </c>
      <c r="L46" s="19"/>
      <c r="M46" s="19"/>
      <c r="N46" s="19">
        <v>16.033099999999997</v>
      </c>
      <c r="O46" s="8"/>
      <c r="P46">
        <v>32.051</v>
      </c>
      <c r="T46" s="53">
        <f>C46/1000</f>
        <v>0.005341</v>
      </c>
    </row>
    <row r="47" spans="1:20" ht="15" customHeight="1">
      <c r="A47" s="9">
        <v>3</v>
      </c>
      <c r="B47" s="9" t="s">
        <v>81</v>
      </c>
      <c r="C47" s="19">
        <v>12.9779428968</v>
      </c>
      <c r="D47" s="9"/>
      <c r="E47" s="9"/>
      <c r="F47" s="9"/>
      <c r="G47" s="20"/>
      <c r="H47" s="37">
        <v>1.6222428621</v>
      </c>
      <c r="I47" s="37">
        <v>0.64889714484</v>
      </c>
      <c r="J47" s="19">
        <v>18.3573002275236</v>
      </c>
      <c r="K47" s="19"/>
      <c r="L47" s="19"/>
      <c r="M47" s="19"/>
      <c r="N47" s="19">
        <v>18.3573002275236</v>
      </c>
      <c r="O47" s="8"/>
      <c r="T47" s="53">
        <f>C47/1000</f>
        <v>0.0129779428968</v>
      </c>
    </row>
    <row r="48" spans="1:20" ht="15" customHeight="1">
      <c r="A48" s="9">
        <v>4</v>
      </c>
      <c r="B48" s="9" t="s">
        <v>82</v>
      </c>
      <c r="C48" s="19">
        <v>35.68984296399999</v>
      </c>
      <c r="D48" s="9"/>
      <c r="E48" s="9"/>
      <c r="F48" s="9"/>
      <c r="G48" s="20"/>
      <c r="H48" s="37">
        <v>0.5353476444599999</v>
      </c>
      <c r="I48" s="37">
        <v>0.12134546607759998</v>
      </c>
      <c r="J48" s="19">
        <v>5.307293787804585</v>
      </c>
      <c r="K48" s="19"/>
      <c r="L48" s="19"/>
      <c r="M48" s="19"/>
      <c r="N48" s="19">
        <v>5.307293787804585</v>
      </c>
      <c r="O48" s="8"/>
      <c r="T48" s="53">
        <f>C48/1000</f>
        <v>0.03568984296399999</v>
      </c>
    </row>
    <row r="49" spans="1:20" ht="15" customHeight="1">
      <c r="A49" s="20" t="s">
        <v>83</v>
      </c>
      <c r="B49" s="9" t="s">
        <v>84</v>
      </c>
      <c r="C49" s="19">
        <v>38.473698261</v>
      </c>
      <c r="D49" s="48"/>
      <c r="E49" s="48"/>
      <c r="F49" s="48"/>
      <c r="G49" s="20">
        <v>1</v>
      </c>
      <c r="H49" s="37">
        <v>4.64647145003</v>
      </c>
      <c r="I49" s="37">
        <v>0.7885604146568</v>
      </c>
      <c r="J49" s="19">
        <v>56.8017295439805</v>
      </c>
      <c r="K49" s="19">
        <v>32</v>
      </c>
      <c r="L49" s="48"/>
      <c r="M49" s="48"/>
      <c r="N49" s="19">
        <v>24.801729543980503</v>
      </c>
      <c r="O49" s="8"/>
      <c r="T49" s="53"/>
    </row>
    <row r="50" spans="1:20" ht="15" customHeight="1">
      <c r="A50" s="9">
        <v>1</v>
      </c>
      <c r="B50" s="9" t="s">
        <v>85</v>
      </c>
      <c r="C50" s="19">
        <v>3.2</v>
      </c>
      <c r="D50" s="9"/>
      <c r="E50" s="9"/>
      <c r="F50" s="9"/>
      <c r="G50" s="49">
        <v>1</v>
      </c>
      <c r="H50" s="37">
        <v>3.2</v>
      </c>
      <c r="I50" s="37">
        <v>0.28</v>
      </c>
      <c r="J50" s="19">
        <v>41</v>
      </c>
      <c r="K50" s="19">
        <v>32</v>
      </c>
      <c r="L50" s="19"/>
      <c r="M50" s="19"/>
      <c r="N50" s="19">
        <v>9</v>
      </c>
      <c r="O50" s="8"/>
      <c r="T50" s="53"/>
    </row>
    <row r="51" spans="1:20" ht="15" customHeight="1">
      <c r="A51" s="9">
        <v>2</v>
      </c>
      <c r="B51" s="9" t="s">
        <v>86</v>
      </c>
      <c r="C51" s="19">
        <v>8.339788509000002</v>
      </c>
      <c r="D51" s="9"/>
      <c r="E51" s="9"/>
      <c r="F51" s="9"/>
      <c r="G51" s="20"/>
      <c r="H51" s="37">
        <v>1.0424628037499999</v>
      </c>
      <c r="I51" s="37">
        <v>0.4169851215</v>
      </c>
      <c r="J51" s="19">
        <v>11.7966308459805</v>
      </c>
      <c r="K51" s="19"/>
      <c r="L51" s="19"/>
      <c r="M51" s="19"/>
      <c r="N51" s="19">
        <v>11.7966308459805</v>
      </c>
      <c r="O51" s="8"/>
      <c r="T51" s="53"/>
    </row>
    <row r="52" spans="1:20" ht="15" customHeight="1">
      <c r="A52" s="9">
        <v>3</v>
      </c>
      <c r="B52" s="9" t="s">
        <v>87</v>
      </c>
      <c r="C52" s="19">
        <v>26.933909752</v>
      </c>
      <c r="D52" s="9"/>
      <c r="E52" s="9"/>
      <c r="F52" s="9"/>
      <c r="G52" s="20"/>
      <c r="H52" s="37">
        <v>0.40400864628</v>
      </c>
      <c r="I52" s="37">
        <v>0.0915752931568</v>
      </c>
      <c r="J52" s="19">
        <v>4.005098698</v>
      </c>
      <c r="K52" s="19"/>
      <c r="L52" s="19"/>
      <c r="M52" s="19"/>
      <c r="N52" s="19">
        <v>4.005098698</v>
      </c>
      <c r="O52" s="8"/>
      <c r="T52" s="53"/>
    </row>
    <row r="53" spans="1:17" ht="19.5" customHeight="1">
      <c r="A53" s="35" t="s">
        <v>88</v>
      </c>
      <c r="B53" s="18" t="s">
        <v>89</v>
      </c>
      <c r="C53" s="35">
        <v>1928</v>
      </c>
      <c r="D53" s="18">
        <v>1311.1935539999997</v>
      </c>
      <c r="E53" s="18">
        <v>418.67291000000006</v>
      </c>
      <c r="F53" s="18">
        <v>396.427</v>
      </c>
      <c r="G53" s="35"/>
      <c r="H53" s="36">
        <v>486.0430799</v>
      </c>
      <c r="I53" s="36">
        <v>39.043620000000004</v>
      </c>
      <c r="J53" s="18">
        <v>2285.9042400000003</v>
      </c>
      <c r="K53" s="18">
        <v>772</v>
      </c>
      <c r="L53" s="18"/>
      <c r="M53" s="18"/>
      <c r="N53" s="18">
        <v>1513.91424</v>
      </c>
      <c r="O53" s="38"/>
      <c r="P53" t="e">
        <f>J53+#REF!</f>
        <v>#REF!</v>
      </c>
      <c r="Q53" s="30" t="s">
        <v>90</v>
      </c>
    </row>
    <row r="54" spans="1:16" ht="19.5" customHeight="1">
      <c r="A54" s="20" t="s">
        <v>30</v>
      </c>
      <c r="B54" s="19" t="s">
        <v>91</v>
      </c>
      <c r="C54" s="20">
        <v>435</v>
      </c>
      <c r="D54" s="19">
        <v>309.832399</v>
      </c>
      <c r="E54" s="19">
        <v>103.86681000000002</v>
      </c>
      <c r="F54" s="19">
        <v>99.48490000000001</v>
      </c>
      <c r="G54" s="20"/>
      <c r="H54" s="37">
        <v>119.27567000000002</v>
      </c>
      <c r="I54" s="37">
        <v>9.066779999999998</v>
      </c>
      <c r="J54" s="19">
        <v>557.31432</v>
      </c>
      <c r="K54" s="19">
        <v>202</v>
      </c>
      <c r="L54" s="19"/>
      <c r="M54" s="19"/>
      <c r="N54" s="19">
        <v>355.31432</v>
      </c>
      <c r="O54" s="39"/>
      <c r="P54">
        <f>2315.31</f>
        <v>2315.31</v>
      </c>
    </row>
    <row r="55" spans="1:17" ht="19.5" customHeight="1">
      <c r="A55" s="20">
        <v>1</v>
      </c>
      <c r="B55" s="19" t="s">
        <v>92</v>
      </c>
      <c r="C55" s="20">
        <v>6</v>
      </c>
      <c r="D55" s="19">
        <v>41.49304</v>
      </c>
      <c r="E55" s="19">
        <v>13.88</v>
      </c>
      <c r="F55" s="19">
        <v>13.89</v>
      </c>
      <c r="G55" s="20">
        <v>2</v>
      </c>
      <c r="H55" s="37">
        <v>15.59</v>
      </c>
      <c r="I55" s="37">
        <v>0.27936</v>
      </c>
      <c r="J55" s="19">
        <v>65.42</v>
      </c>
      <c r="K55" s="19">
        <v>36</v>
      </c>
      <c r="L55" s="19"/>
      <c r="M55" s="19"/>
      <c r="N55" s="19">
        <v>29.42</v>
      </c>
      <c r="O55" s="38"/>
      <c r="P55" t="e">
        <f>K53+#REF!</f>
        <v>#REF!</v>
      </c>
      <c r="Q55" s="43" t="s">
        <v>93</v>
      </c>
    </row>
    <row r="56" spans="1:15" ht="19.5" customHeight="1">
      <c r="A56" s="20">
        <v>2</v>
      </c>
      <c r="B56" s="19" t="s">
        <v>94</v>
      </c>
      <c r="C56" s="20">
        <v>83</v>
      </c>
      <c r="D56" s="19">
        <v>171.459359</v>
      </c>
      <c r="E56" s="19">
        <v>41.54681000000001</v>
      </c>
      <c r="F56" s="19">
        <v>41.998900000000006</v>
      </c>
      <c r="G56" s="20">
        <v>1.5</v>
      </c>
      <c r="H56" s="37">
        <v>64.93367</v>
      </c>
      <c r="I56" s="37">
        <v>3.2514199999999986</v>
      </c>
      <c r="J56" s="19">
        <v>290.55</v>
      </c>
      <c r="K56" s="19">
        <v>166</v>
      </c>
      <c r="L56" s="19"/>
      <c r="M56" s="19"/>
      <c r="N56" s="19">
        <v>124.55000000000001</v>
      </c>
      <c r="O56" s="38"/>
    </row>
    <row r="57" spans="1:15" ht="19.5" customHeight="1">
      <c r="A57" s="20">
        <v>3</v>
      </c>
      <c r="B57" s="19" t="s">
        <v>95</v>
      </c>
      <c r="C57" s="20">
        <v>346</v>
      </c>
      <c r="D57" s="19">
        <v>96.88</v>
      </c>
      <c r="E57" s="19">
        <v>48.44</v>
      </c>
      <c r="F57" s="19">
        <v>43.596</v>
      </c>
      <c r="G57" s="20">
        <v>0.8</v>
      </c>
      <c r="H57" s="37">
        <v>38.752</v>
      </c>
      <c r="I57" s="37">
        <v>5.536</v>
      </c>
      <c r="J57" s="19">
        <v>201.34431999999998</v>
      </c>
      <c r="K57" s="19"/>
      <c r="L57" s="19"/>
      <c r="M57" s="19"/>
      <c r="N57" s="19">
        <v>201.34431999999998</v>
      </c>
      <c r="O57" s="38"/>
    </row>
    <row r="58" spans="1:15" ht="14.25">
      <c r="A58" s="20" t="s">
        <v>38</v>
      </c>
      <c r="B58" s="9" t="s">
        <v>96</v>
      </c>
      <c r="C58" s="20">
        <v>236</v>
      </c>
      <c r="D58" s="19">
        <v>153.37858</v>
      </c>
      <c r="E58" s="19">
        <v>47.5483</v>
      </c>
      <c r="F58" s="19">
        <v>44.5943</v>
      </c>
      <c r="G58" s="20"/>
      <c r="H58" s="37">
        <v>47.5810599</v>
      </c>
      <c r="I58" s="37">
        <v>4.7922</v>
      </c>
      <c r="J58" s="19">
        <v>232.61512000000002</v>
      </c>
      <c r="K58" s="19">
        <v>66</v>
      </c>
      <c r="L58" s="19"/>
      <c r="M58" s="19"/>
      <c r="N58" s="19">
        <v>166.61512000000002</v>
      </c>
      <c r="O58" s="9"/>
    </row>
    <row r="59" spans="1:15" ht="14.25">
      <c r="A59" s="20">
        <v>1</v>
      </c>
      <c r="B59" s="19" t="s">
        <v>92</v>
      </c>
      <c r="C59" s="20">
        <v>4</v>
      </c>
      <c r="D59" s="19">
        <v>34.146</v>
      </c>
      <c r="E59" s="19">
        <v>6.709999999999999</v>
      </c>
      <c r="F59" s="19">
        <v>6.709999999999999</v>
      </c>
      <c r="G59" s="20">
        <v>2</v>
      </c>
      <c r="H59" s="37">
        <v>7.623609900000001</v>
      </c>
      <c r="I59" s="37">
        <v>0.15192</v>
      </c>
      <c r="J59" s="19">
        <v>35.47</v>
      </c>
      <c r="K59" s="19">
        <v>24</v>
      </c>
      <c r="L59" s="19"/>
      <c r="M59" s="19"/>
      <c r="N59" s="19">
        <v>11.469999999999999</v>
      </c>
      <c r="O59" s="9"/>
    </row>
    <row r="60" spans="1:15" ht="14.25">
      <c r="A60" s="20">
        <v>2</v>
      </c>
      <c r="B60" s="19" t="s">
        <v>94</v>
      </c>
      <c r="C60" s="20">
        <v>21</v>
      </c>
      <c r="D60" s="19">
        <v>60.15257999999999</v>
      </c>
      <c r="E60" s="19">
        <v>11.298300000000001</v>
      </c>
      <c r="F60" s="19">
        <v>11.298300000000001</v>
      </c>
      <c r="G60" s="20">
        <v>1.5</v>
      </c>
      <c r="H60" s="37">
        <v>16.32545</v>
      </c>
      <c r="I60" s="37">
        <v>1.2642800000000005</v>
      </c>
      <c r="J60" s="19">
        <v>74.36</v>
      </c>
      <c r="K60" s="19">
        <v>42</v>
      </c>
      <c r="L60" s="19"/>
      <c r="M60" s="19"/>
      <c r="N60" s="19">
        <v>32.36</v>
      </c>
      <c r="O60" s="19"/>
    </row>
    <row r="61" spans="1:15" ht="14.25">
      <c r="A61" s="20">
        <v>3</v>
      </c>
      <c r="B61" s="19" t="s">
        <v>97</v>
      </c>
      <c r="C61" s="20">
        <v>211</v>
      </c>
      <c r="D61" s="19">
        <v>59.08</v>
      </c>
      <c r="E61" s="19">
        <v>29.54</v>
      </c>
      <c r="F61" s="19">
        <v>26.586</v>
      </c>
      <c r="G61" s="20">
        <v>0.8</v>
      </c>
      <c r="H61" s="37">
        <v>23.632</v>
      </c>
      <c r="I61" s="37">
        <v>3.376</v>
      </c>
      <c r="J61" s="19">
        <v>122.78512000000002</v>
      </c>
      <c r="K61" s="19"/>
      <c r="L61" s="19"/>
      <c r="M61" s="19"/>
      <c r="N61" s="19">
        <v>122.78512000000002</v>
      </c>
      <c r="O61" s="19"/>
    </row>
    <row r="62" spans="1:15" ht="14.25">
      <c r="A62" s="20" t="s">
        <v>44</v>
      </c>
      <c r="B62" s="9" t="s">
        <v>98</v>
      </c>
      <c r="C62" s="20">
        <v>28</v>
      </c>
      <c r="D62" s="19">
        <v>7.84</v>
      </c>
      <c r="E62" s="19">
        <v>3.92</v>
      </c>
      <c r="F62" s="19">
        <v>3.528</v>
      </c>
      <c r="G62" s="20"/>
      <c r="H62" s="37">
        <v>3.136</v>
      </c>
      <c r="I62" s="37">
        <v>0.448</v>
      </c>
      <c r="J62" s="19">
        <v>16.29376</v>
      </c>
      <c r="K62" s="19">
        <v>0</v>
      </c>
      <c r="L62" s="19"/>
      <c r="M62" s="19"/>
      <c r="N62" s="19">
        <v>16.29376</v>
      </c>
      <c r="O62" s="19"/>
    </row>
    <row r="63" spans="1:15" ht="14.25">
      <c r="A63" s="20">
        <v>1</v>
      </c>
      <c r="B63" s="19" t="s">
        <v>97</v>
      </c>
      <c r="C63" s="20">
        <v>28</v>
      </c>
      <c r="D63" s="19">
        <v>7.84</v>
      </c>
      <c r="E63" s="19">
        <v>3.92</v>
      </c>
      <c r="F63" s="19">
        <v>3.528</v>
      </c>
      <c r="G63" s="20">
        <v>0.8</v>
      </c>
      <c r="H63" s="37">
        <v>3.136</v>
      </c>
      <c r="I63" s="37">
        <v>0.448</v>
      </c>
      <c r="J63" s="19">
        <v>16.29376</v>
      </c>
      <c r="K63" s="19"/>
      <c r="L63" s="19"/>
      <c r="M63" s="19"/>
      <c r="N63" s="19">
        <v>16.29376</v>
      </c>
      <c r="O63" s="19"/>
    </row>
    <row r="64" spans="1:17" s="40" customFormat="1" ht="15" customHeight="1">
      <c r="A64" s="50" t="s">
        <v>49</v>
      </c>
      <c r="B64" s="44" t="s">
        <v>99</v>
      </c>
      <c r="C64" s="20">
        <v>272</v>
      </c>
      <c r="D64" s="19">
        <v>195.10899999999998</v>
      </c>
      <c r="E64" s="19">
        <v>59.199999999999996</v>
      </c>
      <c r="F64" s="19">
        <v>55.937999999999995</v>
      </c>
      <c r="G64" s="50"/>
      <c r="H64" s="37">
        <v>71.446</v>
      </c>
      <c r="I64" s="37">
        <v>5.2112</v>
      </c>
      <c r="J64" s="19">
        <v>333.25735999999995</v>
      </c>
      <c r="K64" s="19">
        <v>102</v>
      </c>
      <c r="L64" s="52"/>
      <c r="M64" s="52"/>
      <c r="N64" s="19">
        <v>231.25735999999998</v>
      </c>
      <c r="O64" s="45"/>
      <c r="Q64" s="47"/>
    </row>
    <row r="65" spans="1:17" s="40" customFormat="1" ht="15" customHeight="1">
      <c r="A65" s="20">
        <v>1</v>
      </c>
      <c r="B65" s="44" t="s">
        <v>92</v>
      </c>
      <c r="C65" s="50">
        <v>6</v>
      </c>
      <c r="D65" s="19">
        <v>44.732</v>
      </c>
      <c r="E65" s="19">
        <v>7.75</v>
      </c>
      <c r="F65" s="19">
        <v>7.75</v>
      </c>
      <c r="G65" s="20">
        <v>2</v>
      </c>
      <c r="H65" s="37">
        <v>15.884</v>
      </c>
      <c r="I65" s="46">
        <v>0.2808</v>
      </c>
      <c r="J65" s="52">
        <v>66.91</v>
      </c>
      <c r="K65" s="19">
        <v>36</v>
      </c>
      <c r="L65" s="19"/>
      <c r="M65" s="19"/>
      <c r="N65" s="19">
        <v>30.909999999999997</v>
      </c>
      <c r="O65" s="45"/>
      <c r="Q65" s="47"/>
    </row>
    <row r="66" spans="1:17" s="40" customFormat="1" ht="15" customHeight="1">
      <c r="A66" s="20">
        <v>2</v>
      </c>
      <c r="B66" s="44" t="s">
        <v>94</v>
      </c>
      <c r="C66" s="50">
        <v>33</v>
      </c>
      <c r="D66" s="19">
        <v>85.137</v>
      </c>
      <c r="E66" s="19">
        <v>18.83</v>
      </c>
      <c r="F66" s="19">
        <v>18.83</v>
      </c>
      <c r="G66" s="20">
        <v>1.5</v>
      </c>
      <c r="H66" s="37">
        <v>29.465999999999998</v>
      </c>
      <c r="I66" s="37">
        <v>1.2024</v>
      </c>
      <c r="J66" s="19">
        <v>130.76</v>
      </c>
      <c r="K66" s="19">
        <v>66</v>
      </c>
      <c r="L66" s="19"/>
      <c r="M66" s="19"/>
      <c r="N66" s="19">
        <v>64.75999999999999</v>
      </c>
      <c r="O66" s="45"/>
      <c r="Q66" s="47"/>
    </row>
    <row r="67" spans="1:17" s="40" customFormat="1" ht="15" customHeight="1">
      <c r="A67" s="20">
        <v>3</v>
      </c>
      <c r="B67" s="44" t="s">
        <v>97</v>
      </c>
      <c r="C67" s="50">
        <v>233</v>
      </c>
      <c r="D67" s="19">
        <v>65.24</v>
      </c>
      <c r="E67" s="19">
        <v>32.62</v>
      </c>
      <c r="F67" s="19">
        <v>29.357999999999997</v>
      </c>
      <c r="G67" s="20">
        <v>0.8</v>
      </c>
      <c r="H67" s="37">
        <v>26.096</v>
      </c>
      <c r="I67" s="37">
        <v>3.728</v>
      </c>
      <c r="J67" s="19">
        <v>135.58736</v>
      </c>
      <c r="K67" s="19"/>
      <c r="L67" s="19"/>
      <c r="M67" s="19"/>
      <c r="N67" s="19">
        <v>135.58736</v>
      </c>
      <c r="O67" s="45"/>
      <c r="Q67" s="47"/>
    </row>
    <row r="68" spans="1:17" s="40" customFormat="1" ht="15" customHeight="1">
      <c r="A68" s="20" t="s">
        <v>55</v>
      </c>
      <c r="B68" s="19" t="s">
        <v>100</v>
      </c>
      <c r="C68" s="20">
        <v>199</v>
      </c>
      <c r="D68" s="19">
        <v>162.64149999999998</v>
      </c>
      <c r="E68" s="19">
        <v>44.063500000000005</v>
      </c>
      <c r="F68" s="19">
        <v>41.73950000000001</v>
      </c>
      <c r="G68" s="20"/>
      <c r="H68" s="37">
        <v>52.3998</v>
      </c>
      <c r="I68" s="37">
        <v>3.9736000000000002</v>
      </c>
      <c r="J68" s="19">
        <v>246.71872000000002</v>
      </c>
      <c r="K68" s="52">
        <v>90</v>
      </c>
      <c r="L68" s="19"/>
      <c r="M68" s="19"/>
      <c r="N68" s="19">
        <v>156.71872000000002</v>
      </c>
      <c r="O68" s="45"/>
      <c r="Q68" s="47"/>
    </row>
    <row r="69" spans="1:17" s="40" customFormat="1" ht="15" customHeight="1">
      <c r="A69" s="20">
        <v>1</v>
      </c>
      <c r="B69" s="19" t="s">
        <v>92</v>
      </c>
      <c r="C69" s="20">
        <v>6</v>
      </c>
      <c r="D69" s="19">
        <v>43</v>
      </c>
      <c r="E69" s="19">
        <v>5.14</v>
      </c>
      <c r="F69" s="19">
        <v>5.14</v>
      </c>
      <c r="G69" s="20">
        <v>2</v>
      </c>
      <c r="H69" s="37">
        <v>10.945</v>
      </c>
      <c r="I69" s="37">
        <v>0.3636</v>
      </c>
      <c r="J69" s="19">
        <v>47.760000000000005</v>
      </c>
      <c r="K69" s="19">
        <v>36</v>
      </c>
      <c r="L69" s="19"/>
      <c r="M69" s="19"/>
      <c r="N69" s="19">
        <v>11.760000000000005</v>
      </c>
      <c r="O69" s="45"/>
      <c r="Q69" s="47"/>
    </row>
    <row r="70" spans="1:17" s="40" customFormat="1" ht="15" customHeight="1">
      <c r="A70" s="20">
        <v>2</v>
      </c>
      <c r="B70" s="19" t="s">
        <v>94</v>
      </c>
      <c r="C70" s="20">
        <v>27</v>
      </c>
      <c r="D70" s="19">
        <v>73.16149999999999</v>
      </c>
      <c r="E70" s="19">
        <v>15.683500000000002</v>
      </c>
      <c r="F70" s="19">
        <v>15.683500000000002</v>
      </c>
      <c r="G70" s="20">
        <v>1.5</v>
      </c>
      <c r="H70" s="37">
        <v>22.862799999999996</v>
      </c>
      <c r="I70" s="37">
        <v>0.954</v>
      </c>
      <c r="J70" s="19">
        <v>102.36</v>
      </c>
      <c r="K70" s="19">
        <v>54</v>
      </c>
      <c r="L70" s="19"/>
      <c r="M70" s="19"/>
      <c r="N70" s="19">
        <v>48.36</v>
      </c>
      <c r="O70" s="45"/>
      <c r="Q70" s="47"/>
    </row>
    <row r="71" spans="1:17" s="40" customFormat="1" ht="15" customHeight="1">
      <c r="A71" s="20">
        <v>3</v>
      </c>
      <c r="B71" s="19" t="s">
        <v>97</v>
      </c>
      <c r="C71" s="20">
        <v>166</v>
      </c>
      <c r="D71" s="19">
        <v>46.48</v>
      </c>
      <c r="E71" s="19">
        <v>23.24</v>
      </c>
      <c r="F71" s="19">
        <v>20.916</v>
      </c>
      <c r="G71" s="20">
        <v>0.8</v>
      </c>
      <c r="H71" s="37">
        <v>18.592</v>
      </c>
      <c r="I71" s="37">
        <v>2.656</v>
      </c>
      <c r="J71" s="19">
        <v>96.59872</v>
      </c>
      <c r="K71" s="19"/>
      <c r="L71" s="19"/>
      <c r="M71" s="19"/>
      <c r="N71" s="19">
        <v>96.59872</v>
      </c>
      <c r="O71" s="45"/>
      <c r="Q71" s="47"/>
    </row>
    <row r="72" spans="1:15" ht="14.25">
      <c r="A72" s="50" t="s">
        <v>60</v>
      </c>
      <c r="B72" s="44" t="s">
        <v>101</v>
      </c>
      <c r="C72" s="20">
        <v>301</v>
      </c>
      <c r="D72" s="19">
        <v>204.94</v>
      </c>
      <c r="E72" s="19">
        <v>61.97999999999999</v>
      </c>
      <c r="F72" s="19">
        <v>58.507999999999996</v>
      </c>
      <c r="G72" s="54"/>
      <c r="H72" s="37">
        <v>75.99099999999999</v>
      </c>
      <c r="I72" s="37">
        <v>5.822000000000001</v>
      </c>
      <c r="J72" s="19">
        <v>357.10616000000005</v>
      </c>
      <c r="K72" s="19">
        <v>134</v>
      </c>
      <c r="L72" s="55"/>
      <c r="M72" s="55"/>
      <c r="N72" s="19">
        <v>223.10616</v>
      </c>
      <c r="O72" s="45"/>
    </row>
    <row r="73" spans="1:15" ht="14.25">
      <c r="A73" s="20">
        <v>1</v>
      </c>
      <c r="B73" s="44" t="s">
        <v>92</v>
      </c>
      <c r="C73" s="54">
        <v>7</v>
      </c>
      <c r="D73" s="19">
        <v>45.76</v>
      </c>
      <c r="E73" s="19">
        <v>7.07</v>
      </c>
      <c r="F73" s="19">
        <v>7.07</v>
      </c>
      <c r="G73" s="20">
        <v>2</v>
      </c>
      <c r="H73" s="37">
        <v>14.14</v>
      </c>
      <c r="I73" s="37">
        <v>0.34199999999999997</v>
      </c>
      <c r="J73" s="19">
        <v>60.45</v>
      </c>
      <c r="K73" s="19">
        <v>42</v>
      </c>
      <c r="L73" s="19"/>
      <c r="M73" s="19"/>
      <c r="N73" s="19">
        <v>18.450000000000003</v>
      </c>
      <c r="O73" s="45"/>
    </row>
    <row r="74" spans="1:15" ht="14.25">
      <c r="A74" s="20">
        <v>2</v>
      </c>
      <c r="B74" s="44" t="s">
        <v>94</v>
      </c>
      <c r="C74" s="50">
        <v>46</v>
      </c>
      <c r="D74" s="19">
        <v>89.74</v>
      </c>
      <c r="E74" s="19">
        <v>20.189999999999994</v>
      </c>
      <c r="F74" s="19">
        <v>20.189999999999994</v>
      </c>
      <c r="G74" s="20">
        <v>1.5</v>
      </c>
      <c r="H74" s="37">
        <v>34.07499999999999</v>
      </c>
      <c r="I74" s="37">
        <v>1.5120000000000005</v>
      </c>
      <c r="J74" s="19">
        <v>152.34</v>
      </c>
      <c r="K74" s="19">
        <v>92</v>
      </c>
      <c r="L74" s="19"/>
      <c r="M74" s="19"/>
      <c r="N74" s="19">
        <v>60.34</v>
      </c>
      <c r="O74" s="45"/>
    </row>
    <row r="75" spans="1:15" ht="14.25">
      <c r="A75" s="20">
        <v>3</v>
      </c>
      <c r="B75" s="44" t="s">
        <v>97</v>
      </c>
      <c r="C75" s="50">
        <v>248</v>
      </c>
      <c r="D75" s="19">
        <v>69.44</v>
      </c>
      <c r="E75" s="19">
        <v>34.72</v>
      </c>
      <c r="F75" s="19">
        <v>31.248</v>
      </c>
      <c r="G75" s="20">
        <v>0.8</v>
      </c>
      <c r="H75" s="37">
        <v>27.776</v>
      </c>
      <c r="I75" s="37">
        <v>3.968</v>
      </c>
      <c r="J75" s="19">
        <v>144.31616</v>
      </c>
      <c r="K75" s="19"/>
      <c r="L75" s="19"/>
      <c r="M75" s="19"/>
      <c r="N75" s="19">
        <v>144.31616</v>
      </c>
      <c r="O75" s="45"/>
    </row>
    <row r="76" spans="1:15" ht="14.25">
      <c r="A76" s="50" t="s">
        <v>66</v>
      </c>
      <c r="B76" s="44" t="s">
        <v>102</v>
      </c>
      <c r="C76" s="20">
        <v>111</v>
      </c>
      <c r="D76" s="19">
        <v>85.77199999999999</v>
      </c>
      <c r="E76" s="19">
        <v>24.767</v>
      </c>
      <c r="F76" s="19">
        <v>23.465</v>
      </c>
      <c r="G76" s="54"/>
      <c r="H76" s="37">
        <v>31.115</v>
      </c>
      <c r="I76" s="37">
        <v>2.11944</v>
      </c>
      <c r="J76" s="19">
        <v>143.91855999999999</v>
      </c>
      <c r="K76" s="19">
        <v>56</v>
      </c>
      <c r="L76" s="55"/>
      <c r="M76" s="55"/>
      <c r="N76" s="19">
        <v>87.91855999999999</v>
      </c>
      <c r="O76" s="45"/>
    </row>
    <row r="77" spans="1:15" ht="14.25">
      <c r="A77" s="20">
        <v>1</v>
      </c>
      <c r="B77" s="44" t="s">
        <v>92</v>
      </c>
      <c r="C77" s="50">
        <v>5</v>
      </c>
      <c r="D77" s="19">
        <v>30.437</v>
      </c>
      <c r="E77" s="19">
        <v>4.457</v>
      </c>
      <c r="F77" s="19">
        <v>4.457</v>
      </c>
      <c r="G77" s="20">
        <v>2</v>
      </c>
      <c r="H77" s="37">
        <v>9.514</v>
      </c>
      <c r="I77" s="37">
        <v>0.252</v>
      </c>
      <c r="J77" s="19">
        <v>40.89</v>
      </c>
      <c r="K77" s="19">
        <v>30</v>
      </c>
      <c r="L77" s="19"/>
      <c r="M77" s="19"/>
      <c r="N77" s="19">
        <v>10.89</v>
      </c>
      <c r="O77" s="45"/>
    </row>
    <row r="78" spans="1:15" ht="14.25">
      <c r="A78" s="20">
        <v>2</v>
      </c>
      <c r="B78" s="44" t="s">
        <v>94</v>
      </c>
      <c r="C78" s="50">
        <v>13</v>
      </c>
      <c r="D78" s="19">
        <v>29.295</v>
      </c>
      <c r="E78" s="19">
        <v>7.290000000000001</v>
      </c>
      <c r="F78" s="19">
        <v>7.290000000000001</v>
      </c>
      <c r="G78" s="20">
        <v>1.5</v>
      </c>
      <c r="H78" s="37">
        <v>11.185</v>
      </c>
      <c r="I78" s="37">
        <v>0.37944</v>
      </c>
      <c r="J78" s="19">
        <v>48.91</v>
      </c>
      <c r="K78" s="19">
        <v>26</v>
      </c>
      <c r="L78" s="19"/>
      <c r="M78" s="19"/>
      <c r="N78" s="19">
        <v>22.91</v>
      </c>
      <c r="O78" s="45"/>
    </row>
    <row r="79" spans="1:15" ht="14.25">
      <c r="A79" s="20">
        <v>3</v>
      </c>
      <c r="B79" s="44" t="s">
        <v>97</v>
      </c>
      <c r="C79" s="50">
        <v>93</v>
      </c>
      <c r="D79" s="19">
        <v>26.04</v>
      </c>
      <c r="E79" s="19">
        <v>13.02</v>
      </c>
      <c r="F79" s="19">
        <v>11.718</v>
      </c>
      <c r="G79" s="20">
        <v>0.8</v>
      </c>
      <c r="H79" s="37">
        <v>10.416</v>
      </c>
      <c r="I79" s="37">
        <v>1.488</v>
      </c>
      <c r="J79" s="19">
        <v>54.118559999999995</v>
      </c>
      <c r="K79" s="19"/>
      <c r="L79" s="19"/>
      <c r="M79" s="19"/>
      <c r="N79" s="19">
        <v>54.118559999999995</v>
      </c>
      <c r="O79" s="45"/>
    </row>
    <row r="80" spans="1:15" ht="14.25">
      <c r="A80" s="20" t="s">
        <v>71</v>
      </c>
      <c r="B80" s="19" t="s">
        <v>103</v>
      </c>
      <c r="C80" s="20">
        <v>148</v>
      </c>
      <c r="D80" s="19">
        <v>96.46679999999999</v>
      </c>
      <c r="E80" s="19">
        <v>33.4397</v>
      </c>
      <c r="F80" s="19">
        <v>31.731700000000004</v>
      </c>
      <c r="G80" s="20"/>
      <c r="H80" s="37">
        <v>40.32705</v>
      </c>
      <c r="I80" s="37">
        <v>3.5287999999999995</v>
      </c>
      <c r="J80" s="19">
        <v>194.49424</v>
      </c>
      <c r="K80" s="19">
        <v>64</v>
      </c>
      <c r="L80" s="19"/>
      <c r="M80" s="19"/>
      <c r="N80" s="19">
        <v>130.49424</v>
      </c>
      <c r="O80" s="9"/>
    </row>
    <row r="81" spans="1:15" ht="14.25">
      <c r="A81" s="20">
        <v>1</v>
      </c>
      <c r="B81" s="44" t="s">
        <v>92</v>
      </c>
      <c r="C81" s="50">
        <v>3</v>
      </c>
      <c r="D81" s="19">
        <v>18.7</v>
      </c>
      <c r="E81" s="19">
        <v>4.247</v>
      </c>
      <c r="F81" s="19">
        <v>4.247</v>
      </c>
      <c r="G81" s="20">
        <v>2</v>
      </c>
      <c r="H81" s="37">
        <v>8.494</v>
      </c>
      <c r="I81" s="37">
        <v>0.216</v>
      </c>
      <c r="J81" s="19">
        <v>36.84</v>
      </c>
      <c r="K81" s="19">
        <v>18</v>
      </c>
      <c r="L81" s="19"/>
      <c r="M81" s="19"/>
      <c r="N81" s="19">
        <v>18.840000000000003</v>
      </c>
      <c r="O81" s="9"/>
    </row>
    <row r="82" spans="1:15" ht="14.25">
      <c r="A82" s="20">
        <v>2</v>
      </c>
      <c r="B82" s="44" t="s">
        <v>94</v>
      </c>
      <c r="C82" s="50">
        <v>23</v>
      </c>
      <c r="D82" s="19">
        <v>43.6068</v>
      </c>
      <c r="E82" s="19">
        <v>12.112700000000004</v>
      </c>
      <c r="F82" s="19">
        <v>12.112700000000004</v>
      </c>
      <c r="G82" s="20">
        <v>1.5</v>
      </c>
      <c r="H82" s="37">
        <v>18.16905</v>
      </c>
      <c r="I82" s="37">
        <v>1.3607999999999998</v>
      </c>
      <c r="J82" s="19">
        <v>86.66</v>
      </c>
      <c r="K82" s="19">
        <v>46</v>
      </c>
      <c r="L82" s="19"/>
      <c r="M82" s="19"/>
      <c r="N82" s="19">
        <v>40.66000000000001</v>
      </c>
      <c r="O82" s="9"/>
    </row>
    <row r="83" spans="1:15" ht="14.25">
      <c r="A83" s="20">
        <v>3</v>
      </c>
      <c r="B83" s="44" t="s">
        <v>97</v>
      </c>
      <c r="C83" s="50">
        <v>122</v>
      </c>
      <c r="D83" s="19">
        <v>34.16</v>
      </c>
      <c r="E83" s="19">
        <v>17.08</v>
      </c>
      <c r="F83" s="19">
        <v>15.371999999999998</v>
      </c>
      <c r="G83" s="20">
        <v>0.8</v>
      </c>
      <c r="H83" s="37">
        <v>13.664</v>
      </c>
      <c r="I83" s="37">
        <v>1.952</v>
      </c>
      <c r="J83" s="19">
        <v>70.99423999999999</v>
      </c>
      <c r="K83" s="19"/>
      <c r="L83" s="19"/>
      <c r="M83" s="19"/>
      <c r="N83" s="19">
        <v>70.99423999999999</v>
      </c>
      <c r="O83" s="9"/>
    </row>
    <row r="84" spans="1:15" ht="14.25">
      <c r="A84" s="20" t="s">
        <v>77</v>
      </c>
      <c r="B84" s="19" t="s">
        <v>104</v>
      </c>
      <c r="C84" s="20">
        <v>198</v>
      </c>
      <c r="D84" s="19">
        <v>95.21327500000001</v>
      </c>
      <c r="E84" s="19">
        <v>39.887600000000006</v>
      </c>
      <c r="F84" s="19">
        <v>37.4376</v>
      </c>
      <c r="G84" s="20"/>
      <c r="H84" s="37">
        <v>44.7715</v>
      </c>
      <c r="I84" s="37">
        <v>4.0816</v>
      </c>
      <c r="J84" s="19">
        <v>204.18599999999998</v>
      </c>
      <c r="K84" s="19">
        <v>58</v>
      </c>
      <c r="L84" s="19"/>
      <c r="M84" s="19"/>
      <c r="N84" s="19">
        <v>146.196</v>
      </c>
      <c r="O84" s="9"/>
    </row>
    <row r="85" spans="1:15" ht="14.25">
      <c r="A85" s="20">
        <v>1</v>
      </c>
      <c r="B85" s="19" t="s">
        <v>92</v>
      </c>
      <c r="C85" s="20">
        <v>3</v>
      </c>
      <c r="D85" s="19">
        <v>16.57</v>
      </c>
      <c r="E85" s="19">
        <v>4.1802</v>
      </c>
      <c r="F85" s="19">
        <v>4.1802</v>
      </c>
      <c r="G85" s="25">
        <v>2</v>
      </c>
      <c r="H85" s="37">
        <v>8.3604</v>
      </c>
      <c r="I85" s="37">
        <v>0.21600000000000003</v>
      </c>
      <c r="J85" s="37">
        <v>35.88</v>
      </c>
      <c r="K85" s="19">
        <v>18</v>
      </c>
      <c r="L85" s="37"/>
      <c r="M85" s="37"/>
      <c r="N85" s="37">
        <v>17.880000000000003</v>
      </c>
      <c r="O85" s="9"/>
    </row>
    <row r="86" spans="1:15" ht="14.25">
      <c r="A86" s="20">
        <v>2</v>
      </c>
      <c r="B86" s="19" t="s">
        <v>94</v>
      </c>
      <c r="C86" s="20">
        <v>20</v>
      </c>
      <c r="D86" s="19">
        <v>29.643275000000003</v>
      </c>
      <c r="E86" s="19">
        <v>11.207400000000002</v>
      </c>
      <c r="F86" s="19">
        <v>11.207400000000002</v>
      </c>
      <c r="G86" s="25">
        <v>1.5</v>
      </c>
      <c r="H86" s="37">
        <v>16.8111</v>
      </c>
      <c r="I86" s="37">
        <v>1.0656</v>
      </c>
      <c r="J86" s="37">
        <v>66.47</v>
      </c>
      <c r="K86" s="19">
        <v>40</v>
      </c>
      <c r="L86" s="37"/>
      <c r="M86" s="37"/>
      <c r="N86" s="37">
        <v>26.480000000000004</v>
      </c>
      <c r="O86" s="9"/>
    </row>
    <row r="87" spans="1:15" ht="14.25">
      <c r="A87" s="20">
        <v>3</v>
      </c>
      <c r="B87" s="19" t="s">
        <v>97</v>
      </c>
      <c r="C87" s="20">
        <v>175</v>
      </c>
      <c r="D87" s="19">
        <v>49</v>
      </c>
      <c r="E87" s="19">
        <v>24.5</v>
      </c>
      <c r="F87" s="19">
        <v>22.05</v>
      </c>
      <c r="G87" s="25">
        <v>0.8</v>
      </c>
      <c r="H87" s="37">
        <v>19.6</v>
      </c>
      <c r="I87" s="37">
        <v>2.8</v>
      </c>
      <c r="J87" s="37">
        <v>101.836</v>
      </c>
      <c r="K87" s="19"/>
      <c r="L87" s="37"/>
      <c r="M87" s="37"/>
      <c r="N87" s="37">
        <v>101.836</v>
      </c>
      <c r="O87" s="9"/>
    </row>
  </sheetData>
  <sheetProtection/>
  <mergeCells count="17">
    <mergeCell ref="B1:O1"/>
    <mergeCell ref="D2:E2"/>
    <mergeCell ref="F2:G2"/>
    <mergeCell ref="H2:I2"/>
    <mergeCell ref="J2:N2"/>
    <mergeCell ref="L3:N3"/>
    <mergeCell ref="G3:G4"/>
    <mergeCell ref="H3:H4"/>
    <mergeCell ref="I3:I4"/>
    <mergeCell ref="J3:J4"/>
    <mergeCell ref="O2:O4"/>
    <mergeCell ref="A2:A4"/>
    <mergeCell ref="B2:B4"/>
    <mergeCell ref="C2:C4"/>
    <mergeCell ref="D3:D4"/>
    <mergeCell ref="E3:E4"/>
    <mergeCell ref="F3:F4"/>
  </mergeCells>
  <printOptions/>
  <pageMargins left="0.75" right="0.75" top="0.48" bottom="0.6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7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4.25"/>
  <cols>
    <col min="1" max="1" width="5.125" style="2" customWidth="1"/>
    <col min="2" max="2" width="20.00390625" style="2" customWidth="1"/>
    <col min="3" max="3" width="9.50390625" style="2" customWidth="1"/>
    <col min="4" max="12" width="7.625" style="2" customWidth="1"/>
    <col min="13" max="13" width="8.875" style="2" customWidth="1"/>
    <col min="14" max="14" width="9.50390625" style="2" customWidth="1"/>
    <col min="15" max="18" width="7.625" style="2" customWidth="1"/>
  </cols>
  <sheetData>
    <row r="1" spans="1:18" ht="64.5" customHeight="1">
      <c r="A1" s="67" t="s">
        <v>202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4" customHeight="1">
      <c r="A2" s="68" t="s">
        <v>1</v>
      </c>
      <c r="B2" s="68" t="s">
        <v>105</v>
      </c>
      <c r="C2" s="69" t="s">
        <v>106</v>
      </c>
      <c r="D2" s="68" t="s">
        <v>107</v>
      </c>
      <c r="E2" s="68"/>
      <c r="F2" s="68"/>
      <c r="G2" s="68" t="s">
        <v>5</v>
      </c>
      <c r="H2" s="68"/>
      <c r="I2" s="68" t="s">
        <v>108</v>
      </c>
      <c r="J2" s="68"/>
      <c r="K2" s="68"/>
      <c r="L2" s="68"/>
      <c r="M2" s="68" t="s">
        <v>7</v>
      </c>
      <c r="N2" s="68"/>
      <c r="O2" s="68"/>
      <c r="P2" s="68"/>
      <c r="Q2" s="68"/>
      <c r="R2" s="68"/>
    </row>
    <row r="3" spans="1:18" s="1" customFormat="1" ht="72" customHeight="1">
      <c r="A3" s="68"/>
      <c r="B3" s="68"/>
      <c r="C3" s="69"/>
      <c r="D3" s="4" t="s">
        <v>203</v>
      </c>
      <c r="E3" s="4" t="s">
        <v>109</v>
      </c>
      <c r="F3" s="4" t="s">
        <v>110</v>
      </c>
      <c r="G3" s="4" t="s">
        <v>204</v>
      </c>
      <c r="H3" s="4" t="s">
        <v>111</v>
      </c>
      <c r="I3" s="4" t="s">
        <v>112</v>
      </c>
      <c r="J3" s="4" t="s">
        <v>205</v>
      </c>
      <c r="K3" s="4" t="s">
        <v>113</v>
      </c>
      <c r="L3" s="4" t="s">
        <v>114</v>
      </c>
      <c r="M3" s="4" t="s">
        <v>206</v>
      </c>
      <c r="N3" s="4" t="s">
        <v>115</v>
      </c>
      <c r="O3" s="4" t="s">
        <v>207</v>
      </c>
      <c r="P3" s="4" t="s">
        <v>208</v>
      </c>
      <c r="Q3" s="4" t="s">
        <v>209</v>
      </c>
      <c r="R3" s="4" t="s">
        <v>210</v>
      </c>
    </row>
    <row r="4" spans="1:18" ht="19.5" customHeight="1">
      <c r="A4" s="5"/>
      <c r="B4" s="6" t="s">
        <v>116</v>
      </c>
      <c r="C4" s="5"/>
      <c r="D4" s="6">
        <f aca="true" t="shared" si="0" ref="D4:J4">D5+D23+D30+D33+D40+D45+D54+D59+D68</f>
        <v>120518</v>
      </c>
      <c r="E4" s="6"/>
      <c r="F4" s="6">
        <f t="shared" si="0"/>
        <v>170</v>
      </c>
      <c r="G4" s="6">
        <f t="shared" si="0"/>
        <v>86495</v>
      </c>
      <c r="H4" s="6">
        <f t="shared" si="0"/>
        <v>54</v>
      </c>
      <c r="I4" s="6">
        <f t="shared" si="0"/>
        <v>684315.35</v>
      </c>
      <c r="J4" s="6">
        <f t="shared" si="0"/>
        <v>123090.023</v>
      </c>
      <c r="K4" s="6"/>
      <c r="L4" s="6"/>
      <c r="M4" s="6">
        <f aca="true" t="shared" si="1" ref="M4:R4">M5+M23+M30+M33+M40+M45+M54+M59+M68</f>
        <v>980.1172531000001</v>
      </c>
      <c r="N4" s="6">
        <f t="shared" si="1"/>
        <v>575.108</v>
      </c>
      <c r="O4" s="6">
        <f t="shared" si="1"/>
        <v>141.753238585</v>
      </c>
      <c r="P4" s="6">
        <f t="shared" si="1"/>
        <v>101.25231327499999</v>
      </c>
      <c r="Q4" s="6">
        <f t="shared" si="1"/>
        <v>93.152128213</v>
      </c>
      <c r="R4" s="6">
        <f t="shared" si="1"/>
        <v>68.851573027</v>
      </c>
    </row>
    <row r="5" spans="1:18" ht="19.5" customHeight="1">
      <c r="A5" s="7" t="s">
        <v>30</v>
      </c>
      <c r="B5" s="7" t="s">
        <v>211</v>
      </c>
      <c r="C5" s="7"/>
      <c r="D5" s="7">
        <f aca="true" t="shared" si="2" ref="D5:J5">D6+D12</f>
        <v>23190</v>
      </c>
      <c r="E5" s="7"/>
      <c r="F5" s="7">
        <f t="shared" si="2"/>
        <v>41</v>
      </c>
      <c r="G5" s="7">
        <f t="shared" si="2"/>
        <v>14650</v>
      </c>
      <c r="H5" s="7">
        <f t="shared" si="2"/>
        <v>20</v>
      </c>
      <c r="I5" s="7">
        <f t="shared" si="2"/>
        <v>104333.75</v>
      </c>
      <c r="J5" s="7">
        <f t="shared" si="2"/>
        <v>74957</v>
      </c>
      <c r="K5" s="7"/>
      <c r="L5" s="7"/>
      <c r="M5" s="17">
        <f aca="true" t="shared" si="3" ref="M5:R5">M6+M12</f>
        <v>181.78</v>
      </c>
      <c r="N5" s="17">
        <f t="shared" si="3"/>
        <v>85.36000000000001</v>
      </c>
      <c r="O5" s="17">
        <f t="shared" si="3"/>
        <v>33.747</v>
      </c>
      <c r="P5" s="17">
        <f t="shared" si="3"/>
        <v>24.104999999999997</v>
      </c>
      <c r="Q5" s="17">
        <f t="shared" si="3"/>
        <v>22.1766</v>
      </c>
      <c r="R5" s="17">
        <f t="shared" si="3"/>
        <v>16.3914</v>
      </c>
    </row>
    <row r="6" spans="1:18" ht="19.5" customHeight="1">
      <c r="A6" s="8" t="s">
        <v>24</v>
      </c>
      <c r="B6" s="8" t="s">
        <v>32</v>
      </c>
      <c r="C6" s="8"/>
      <c r="D6" s="8">
        <f aca="true" t="shared" si="4" ref="D6:J6">SUM(D7:D11)</f>
        <v>4460</v>
      </c>
      <c r="E6" s="8"/>
      <c r="F6" s="8">
        <f t="shared" si="4"/>
        <v>12</v>
      </c>
      <c r="G6" s="8">
        <f t="shared" si="4"/>
        <v>4460</v>
      </c>
      <c r="H6" s="8">
        <f t="shared" si="4"/>
        <v>7</v>
      </c>
      <c r="I6" s="8">
        <f t="shared" si="4"/>
        <v>58567.75</v>
      </c>
      <c r="J6" s="8">
        <f t="shared" si="4"/>
        <v>29884</v>
      </c>
      <c r="K6" s="8"/>
      <c r="L6" s="8"/>
      <c r="M6" s="18">
        <f aca="true" t="shared" si="5" ref="M6:R6">SUM(M7:M11)</f>
        <v>85.06</v>
      </c>
      <c r="N6" s="18">
        <f t="shared" si="5"/>
        <v>44.6</v>
      </c>
      <c r="O6" s="18">
        <f t="shared" si="5"/>
        <v>14.161</v>
      </c>
      <c r="P6" s="18">
        <f t="shared" si="5"/>
        <v>10.115</v>
      </c>
      <c r="Q6" s="18">
        <f t="shared" si="5"/>
        <v>9.3058</v>
      </c>
      <c r="R6" s="18">
        <f t="shared" si="5"/>
        <v>6.8782</v>
      </c>
    </row>
    <row r="7" spans="1:18" ht="19.5" customHeight="1">
      <c r="A7" s="9">
        <v>1</v>
      </c>
      <c r="B7" s="9" t="s">
        <v>118</v>
      </c>
      <c r="C7" s="9" t="s">
        <v>119</v>
      </c>
      <c r="D7" s="9">
        <v>1300</v>
      </c>
      <c r="E7" s="9">
        <v>11</v>
      </c>
      <c r="F7" s="9">
        <v>5</v>
      </c>
      <c r="G7" s="9">
        <v>1300</v>
      </c>
      <c r="H7" s="9">
        <v>2</v>
      </c>
      <c r="I7" s="9">
        <v>19305</v>
      </c>
      <c r="J7" s="9">
        <v>10010</v>
      </c>
      <c r="K7" s="9"/>
      <c r="L7" s="9"/>
      <c r="M7" s="19">
        <v>28.24</v>
      </c>
      <c r="N7" s="19">
        <f>G7*100/10000</f>
        <v>13</v>
      </c>
      <c r="O7" s="19">
        <f>(M7-N7)*0.35</f>
        <v>5.333999999999999</v>
      </c>
      <c r="P7" s="19">
        <f>(M7-N7)*0.25</f>
        <v>3.8099999999999996</v>
      </c>
      <c r="Q7" s="19">
        <f>(M7-N7)*0.23</f>
        <v>3.5052</v>
      </c>
      <c r="R7" s="19">
        <f>M7-N7-O7-P7-Q7</f>
        <v>2.5907999999999993</v>
      </c>
    </row>
    <row r="8" spans="1:18" ht="19.5" customHeight="1">
      <c r="A8" s="9">
        <v>2</v>
      </c>
      <c r="B8" s="9" t="s">
        <v>120</v>
      </c>
      <c r="C8" s="9" t="s">
        <v>119</v>
      </c>
      <c r="D8" s="9">
        <v>860</v>
      </c>
      <c r="E8" s="9">
        <v>12</v>
      </c>
      <c r="F8" s="9">
        <v>3</v>
      </c>
      <c r="G8" s="9">
        <v>860</v>
      </c>
      <c r="H8" s="9">
        <v>1</v>
      </c>
      <c r="I8" s="20">
        <v>8868.75</v>
      </c>
      <c r="J8" s="9">
        <v>4967</v>
      </c>
      <c r="K8" s="9"/>
      <c r="L8" s="9"/>
      <c r="M8" s="19">
        <v>13.44</v>
      </c>
      <c r="N8" s="19">
        <f>G8*100/10000</f>
        <v>8.6</v>
      </c>
      <c r="O8" s="19">
        <f>(M8-N8)*0.35</f>
        <v>1.694</v>
      </c>
      <c r="P8" s="19">
        <f>(M8-N8)*0.25</f>
        <v>1.21</v>
      </c>
      <c r="Q8" s="19">
        <f>(M8-N8)*0.23</f>
        <v>1.1132</v>
      </c>
      <c r="R8" s="19">
        <f>M8-N8-O8-P8-Q8</f>
        <v>0.8228</v>
      </c>
    </row>
    <row r="9" spans="1:18" ht="19.5" customHeight="1">
      <c r="A9" s="9">
        <v>3</v>
      </c>
      <c r="B9" s="9" t="s">
        <v>121</v>
      </c>
      <c r="C9" s="9" t="s">
        <v>122</v>
      </c>
      <c r="D9" s="9">
        <v>800</v>
      </c>
      <c r="E9" s="9">
        <v>10.5</v>
      </c>
      <c r="F9" s="9">
        <v>2</v>
      </c>
      <c r="G9" s="9">
        <v>800</v>
      </c>
      <c r="H9" s="9">
        <v>2</v>
      </c>
      <c r="I9" s="9">
        <v>10360</v>
      </c>
      <c r="J9" s="9">
        <v>5180</v>
      </c>
      <c r="K9" s="9"/>
      <c r="L9" s="9"/>
      <c r="M9" s="19">
        <v>14.91</v>
      </c>
      <c r="N9" s="19">
        <f>G9*100/10000</f>
        <v>8</v>
      </c>
      <c r="O9" s="19">
        <f>(M9-N9)*0.35</f>
        <v>2.4185</v>
      </c>
      <c r="P9" s="19">
        <f>(M9-N9)*0.25</f>
        <v>1.7275</v>
      </c>
      <c r="Q9" s="19">
        <f>(M9-N9)*0.23</f>
        <v>1.5893000000000002</v>
      </c>
      <c r="R9" s="19">
        <f>M9-N9-O9-P9-Q9</f>
        <v>1.1747</v>
      </c>
    </row>
    <row r="10" spans="1:18" ht="19.5" customHeight="1">
      <c r="A10" s="9">
        <v>4</v>
      </c>
      <c r="B10" s="9" t="s">
        <v>123</v>
      </c>
      <c r="C10" s="9" t="s">
        <v>124</v>
      </c>
      <c r="D10" s="9">
        <v>700</v>
      </c>
      <c r="E10" s="9">
        <v>12</v>
      </c>
      <c r="F10" s="9">
        <v>2</v>
      </c>
      <c r="G10" s="9">
        <v>700</v>
      </c>
      <c r="H10" s="9">
        <v>2</v>
      </c>
      <c r="I10" s="9">
        <v>6594</v>
      </c>
      <c r="J10" s="9">
        <v>3847</v>
      </c>
      <c r="K10" s="9"/>
      <c r="L10" s="9"/>
      <c r="M10" s="19">
        <v>10.19</v>
      </c>
      <c r="N10" s="19">
        <f>G10*100/10000</f>
        <v>7</v>
      </c>
      <c r="O10" s="19">
        <f>(M10-N10)*0.35</f>
        <v>1.1164999999999998</v>
      </c>
      <c r="P10" s="19">
        <f>(M10-N10)*0.25</f>
        <v>0.7974999999999999</v>
      </c>
      <c r="Q10" s="19">
        <f>(M10-N10)*0.23</f>
        <v>0.7336999999999999</v>
      </c>
      <c r="R10" s="19">
        <f>M10-N10-O10-P10-Q10</f>
        <v>0.5422999999999999</v>
      </c>
    </row>
    <row r="11" spans="1:18" ht="19.5" customHeight="1">
      <c r="A11" s="9">
        <v>5</v>
      </c>
      <c r="B11" s="9" t="s">
        <v>125</v>
      </c>
      <c r="C11" s="9" t="s">
        <v>117</v>
      </c>
      <c r="D11" s="9">
        <v>800</v>
      </c>
      <c r="E11" s="9">
        <v>16</v>
      </c>
      <c r="F11" s="9">
        <v>0</v>
      </c>
      <c r="G11" s="9">
        <v>800</v>
      </c>
      <c r="H11" s="9">
        <v>0</v>
      </c>
      <c r="I11" s="9">
        <v>13440</v>
      </c>
      <c r="J11" s="9">
        <v>5880</v>
      </c>
      <c r="K11" s="9"/>
      <c r="L11" s="9"/>
      <c r="M11" s="19">
        <v>18.28</v>
      </c>
      <c r="N11" s="19">
        <f>G11*100/10000</f>
        <v>8</v>
      </c>
      <c r="O11" s="19">
        <f>(M11-N11)*0.35</f>
        <v>3.5980000000000003</v>
      </c>
      <c r="P11" s="19">
        <f>(M11-N11)*0.25</f>
        <v>2.5700000000000003</v>
      </c>
      <c r="Q11" s="19">
        <f>(M11-N11)*0.23</f>
        <v>2.3644000000000003</v>
      </c>
      <c r="R11" s="19">
        <f>M11-N11-O11-P11-Q11</f>
        <v>1.7475999999999998</v>
      </c>
    </row>
    <row r="12" spans="1:18" ht="19.5" customHeight="1">
      <c r="A12" s="8" t="s">
        <v>88</v>
      </c>
      <c r="B12" s="8" t="s">
        <v>34</v>
      </c>
      <c r="C12" s="8"/>
      <c r="D12" s="8">
        <f aca="true" t="shared" si="6" ref="D12:J12">SUM(D13:D22)</f>
        <v>18730</v>
      </c>
      <c r="E12" s="8"/>
      <c r="F12" s="8">
        <f t="shared" si="6"/>
        <v>29</v>
      </c>
      <c r="G12" s="8">
        <f t="shared" si="6"/>
        <v>10190</v>
      </c>
      <c r="H12" s="8">
        <f t="shared" si="6"/>
        <v>13</v>
      </c>
      <c r="I12" s="8">
        <f t="shared" si="6"/>
        <v>45766</v>
      </c>
      <c r="J12" s="8">
        <f t="shared" si="6"/>
        <v>45073</v>
      </c>
      <c r="K12" s="8"/>
      <c r="L12" s="8"/>
      <c r="M12" s="18">
        <f aca="true" t="shared" si="7" ref="M12:R12">SUM(M13:M22)</f>
        <v>96.72</v>
      </c>
      <c r="N12" s="18">
        <f t="shared" si="7"/>
        <v>40.760000000000005</v>
      </c>
      <c r="O12" s="18">
        <f t="shared" si="7"/>
        <v>19.586</v>
      </c>
      <c r="P12" s="18">
        <f t="shared" si="7"/>
        <v>13.989999999999998</v>
      </c>
      <c r="Q12" s="18">
        <f t="shared" si="7"/>
        <v>12.870800000000001</v>
      </c>
      <c r="R12" s="18">
        <f t="shared" si="7"/>
        <v>9.513200000000001</v>
      </c>
    </row>
    <row r="13" spans="1:18" ht="19.5" customHeight="1">
      <c r="A13" s="9">
        <v>1</v>
      </c>
      <c r="B13" s="9" t="s">
        <v>126</v>
      </c>
      <c r="C13" s="9" t="s">
        <v>127</v>
      </c>
      <c r="D13" s="9">
        <v>1800</v>
      </c>
      <c r="E13" s="9">
        <v>6.2</v>
      </c>
      <c r="F13" s="9">
        <v>3</v>
      </c>
      <c r="G13" s="9">
        <v>1300</v>
      </c>
      <c r="H13" s="9">
        <v>2</v>
      </c>
      <c r="I13" s="9">
        <v>5118</v>
      </c>
      <c r="J13" s="9">
        <v>5779</v>
      </c>
      <c r="K13" s="9"/>
      <c r="L13" s="9"/>
      <c r="M13" s="19">
        <v>11.43</v>
      </c>
      <c r="N13" s="19">
        <f aca="true" t="shared" si="8" ref="N13:N22">G13*40/10000</f>
        <v>5.2</v>
      </c>
      <c r="O13" s="19">
        <f aca="true" t="shared" si="9" ref="O13:O22">(M13-N13)*0.35</f>
        <v>2.1805</v>
      </c>
      <c r="P13" s="19">
        <f aca="true" t="shared" si="10" ref="P13:P22">(M13-N13)*0.25</f>
        <v>1.5574999999999999</v>
      </c>
      <c r="Q13" s="19">
        <f aca="true" t="shared" si="11" ref="Q13:Q22">(M13-N13)*0.23</f>
        <v>1.4329</v>
      </c>
      <c r="R13" s="19">
        <f aca="true" t="shared" si="12" ref="R13:R22">M13-N13-O13-P13-Q13</f>
        <v>1.0591</v>
      </c>
    </row>
    <row r="14" spans="1:18" ht="19.5" customHeight="1">
      <c r="A14" s="10">
        <v>2</v>
      </c>
      <c r="B14" s="10" t="s">
        <v>128</v>
      </c>
      <c r="C14" s="10" t="s">
        <v>129</v>
      </c>
      <c r="D14" s="10">
        <v>1000</v>
      </c>
      <c r="E14" s="10">
        <v>6.5</v>
      </c>
      <c r="F14" s="10">
        <v>0</v>
      </c>
      <c r="G14" s="10">
        <v>300</v>
      </c>
      <c r="H14" s="10">
        <v>0</v>
      </c>
      <c r="I14" s="10">
        <v>1365</v>
      </c>
      <c r="J14" s="10">
        <v>1470</v>
      </c>
      <c r="K14" s="10"/>
      <c r="L14" s="10"/>
      <c r="M14" s="21">
        <v>2.96</v>
      </c>
      <c r="N14" s="21">
        <f t="shared" si="8"/>
        <v>1.2</v>
      </c>
      <c r="O14" s="21">
        <f t="shared" si="9"/>
        <v>0.616</v>
      </c>
      <c r="P14" s="21">
        <f t="shared" si="10"/>
        <v>0.44</v>
      </c>
      <c r="Q14" s="21">
        <f t="shared" si="11"/>
        <v>0.4048</v>
      </c>
      <c r="R14" s="21">
        <f t="shared" si="12"/>
        <v>0.2992000000000002</v>
      </c>
    </row>
    <row r="15" spans="1:18" ht="19.5" customHeight="1">
      <c r="A15" s="10">
        <v>3</v>
      </c>
      <c r="B15" s="10" t="s">
        <v>130</v>
      </c>
      <c r="C15" s="10" t="s">
        <v>122</v>
      </c>
      <c r="D15" s="10">
        <v>2300</v>
      </c>
      <c r="E15" s="10">
        <v>5.8</v>
      </c>
      <c r="F15" s="10">
        <v>2</v>
      </c>
      <c r="G15" s="10">
        <v>1200</v>
      </c>
      <c r="H15" s="10">
        <v>1</v>
      </c>
      <c r="I15" s="10">
        <v>5568</v>
      </c>
      <c r="J15" s="10">
        <v>5568</v>
      </c>
      <c r="K15" s="10"/>
      <c r="L15" s="10"/>
      <c r="M15" s="21">
        <v>12.05</v>
      </c>
      <c r="N15" s="21">
        <f t="shared" si="8"/>
        <v>4.8</v>
      </c>
      <c r="O15" s="21">
        <f t="shared" si="9"/>
        <v>2.5375</v>
      </c>
      <c r="P15" s="21">
        <f t="shared" si="10"/>
        <v>1.8125000000000002</v>
      </c>
      <c r="Q15" s="21">
        <f t="shared" si="11"/>
        <v>1.6675000000000002</v>
      </c>
      <c r="R15" s="21">
        <f t="shared" si="12"/>
        <v>1.2325000000000002</v>
      </c>
    </row>
    <row r="16" spans="1:18" ht="19.5" customHeight="1">
      <c r="A16" s="10">
        <v>4</v>
      </c>
      <c r="B16" s="10" t="s">
        <v>131</v>
      </c>
      <c r="C16" s="10" t="s">
        <v>122</v>
      </c>
      <c r="D16" s="10">
        <v>900</v>
      </c>
      <c r="E16" s="10">
        <v>5.2</v>
      </c>
      <c r="F16" s="10">
        <v>1</v>
      </c>
      <c r="G16" s="10">
        <v>750</v>
      </c>
      <c r="H16" s="10">
        <v>1</v>
      </c>
      <c r="I16" s="10">
        <v>2730</v>
      </c>
      <c r="J16" s="10">
        <v>3045</v>
      </c>
      <c r="K16" s="10"/>
      <c r="L16" s="10"/>
      <c r="M16" s="21">
        <v>6.34</v>
      </c>
      <c r="N16" s="21">
        <f t="shared" si="8"/>
        <v>3</v>
      </c>
      <c r="O16" s="21">
        <f t="shared" si="9"/>
        <v>1.1689999999999998</v>
      </c>
      <c r="P16" s="21">
        <f t="shared" si="10"/>
        <v>0.835</v>
      </c>
      <c r="Q16" s="21">
        <f t="shared" si="11"/>
        <v>0.7682</v>
      </c>
      <c r="R16" s="21">
        <f t="shared" si="12"/>
        <v>0.5678000000000003</v>
      </c>
    </row>
    <row r="17" spans="1:18" ht="19.5" customHeight="1">
      <c r="A17" s="10">
        <v>5</v>
      </c>
      <c r="B17" s="10" t="s">
        <v>132</v>
      </c>
      <c r="C17" s="10" t="s">
        <v>119</v>
      </c>
      <c r="D17" s="10">
        <v>1100</v>
      </c>
      <c r="E17" s="10">
        <v>6</v>
      </c>
      <c r="F17" s="10">
        <v>3</v>
      </c>
      <c r="G17" s="10">
        <v>1100</v>
      </c>
      <c r="H17" s="10">
        <v>2</v>
      </c>
      <c r="I17" s="10">
        <v>5878</v>
      </c>
      <c r="J17" s="10">
        <v>5280</v>
      </c>
      <c r="K17" s="10"/>
      <c r="L17" s="10"/>
      <c r="M17" s="21">
        <v>11.19</v>
      </c>
      <c r="N17" s="21">
        <f t="shared" si="8"/>
        <v>4.4</v>
      </c>
      <c r="O17" s="21">
        <f t="shared" si="9"/>
        <v>2.3764999999999996</v>
      </c>
      <c r="P17" s="21">
        <f t="shared" si="10"/>
        <v>1.6974999999999998</v>
      </c>
      <c r="Q17" s="21">
        <f t="shared" si="11"/>
        <v>1.5616999999999999</v>
      </c>
      <c r="R17" s="21">
        <f t="shared" si="12"/>
        <v>1.1542999999999994</v>
      </c>
    </row>
    <row r="18" spans="1:18" ht="19.5" customHeight="1">
      <c r="A18" s="10">
        <v>6</v>
      </c>
      <c r="B18" s="10" t="s">
        <v>133</v>
      </c>
      <c r="C18" s="10" t="s">
        <v>119</v>
      </c>
      <c r="D18" s="10">
        <v>680</v>
      </c>
      <c r="E18" s="10">
        <v>5</v>
      </c>
      <c r="F18" s="10">
        <v>2</v>
      </c>
      <c r="G18" s="10">
        <v>400</v>
      </c>
      <c r="H18" s="10">
        <v>1</v>
      </c>
      <c r="I18" s="10">
        <v>1300</v>
      </c>
      <c r="J18" s="10">
        <v>1508</v>
      </c>
      <c r="K18" s="10"/>
      <c r="L18" s="10"/>
      <c r="M18" s="21">
        <v>3.1</v>
      </c>
      <c r="N18" s="21">
        <f t="shared" si="8"/>
        <v>1.6</v>
      </c>
      <c r="O18" s="21">
        <f t="shared" si="9"/>
        <v>0.5249999999999999</v>
      </c>
      <c r="P18" s="21">
        <f t="shared" si="10"/>
        <v>0.375</v>
      </c>
      <c r="Q18" s="21">
        <f t="shared" si="11"/>
        <v>0.34500000000000003</v>
      </c>
      <c r="R18" s="21">
        <f t="shared" si="12"/>
        <v>0.25500000000000006</v>
      </c>
    </row>
    <row r="19" spans="1:18" ht="19.5" customHeight="1">
      <c r="A19" s="10">
        <v>7</v>
      </c>
      <c r="B19" s="10" t="s">
        <v>134</v>
      </c>
      <c r="C19" s="10" t="s">
        <v>124</v>
      </c>
      <c r="D19" s="10">
        <v>2000</v>
      </c>
      <c r="E19" s="10">
        <v>5</v>
      </c>
      <c r="F19" s="10">
        <v>4</v>
      </c>
      <c r="G19" s="10">
        <v>890</v>
      </c>
      <c r="H19" s="10">
        <v>1</v>
      </c>
      <c r="I19" s="10">
        <v>2892</v>
      </c>
      <c r="J19" s="10">
        <v>3355</v>
      </c>
      <c r="K19" s="10"/>
      <c r="L19" s="10"/>
      <c r="M19" s="21">
        <v>6.89</v>
      </c>
      <c r="N19" s="21">
        <f t="shared" si="8"/>
        <v>3.56</v>
      </c>
      <c r="O19" s="21">
        <f t="shared" si="9"/>
        <v>1.1654999999999998</v>
      </c>
      <c r="P19" s="21">
        <f t="shared" si="10"/>
        <v>0.8324999999999999</v>
      </c>
      <c r="Q19" s="21">
        <f t="shared" si="11"/>
        <v>0.7658999999999999</v>
      </c>
      <c r="R19" s="21">
        <f t="shared" si="12"/>
        <v>0.5660999999999999</v>
      </c>
    </row>
    <row r="20" spans="1:18" ht="19.5" customHeight="1">
      <c r="A20" s="10">
        <v>8</v>
      </c>
      <c r="B20" s="10" t="s">
        <v>135</v>
      </c>
      <c r="C20" s="10" t="s">
        <v>136</v>
      </c>
      <c r="D20" s="10">
        <v>4800</v>
      </c>
      <c r="E20" s="10">
        <v>5</v>
      </c>
      <c r="F20" s="10">
        <v>8</v>
      </c>
      <c r="G20" s="10">
        <v>1000</v>
      </c>
      <c r="H20" s="10">
        <v>2</v>
      </c>
      <c r="I20" s="10">
        <v>3875</v>
      </c>
      <c r="J20" s="10">
        <v>4495</v>
      </c>
      <c r="K20" s="10"/>
      <c r="L20" s="10"/>
      <c r="M20" s="21">
        <v>9.23</v>
      </c>
      <c r="N20" s="21">
        <f t="shared" si="8"/>
        <v>4</v>
      </c>
      <c r="O20" s="21">
        <f t="shared" si="9"/>
        <v>1.8305</v>
      </c>
      <c r="P20" s="21">
        <f t="shared" si="10"/>
        <v>1.3075</v>
      </c>
      <c r="Q20" s="21">
        <f t="shared" si="11"/>
        <v>1.2029</v>
      </c>
      <c r="R20" s="21">
        <f t="shared" si="12"/>
        <v>0.8891000000000004</v>
      </c>
    </row>
    <row r="21" spans="1:18" ht="19.5" customHeight="1">
      <c r="A21" s="10">
        <v>9</v>
      </c>
      <c r="B21" s="10" t="s">
        <v>135</v>
      </c>
      <c r="C21" s="10" t="s">
        <v>137</v>
      </c>
      <c r="D21" s="10">
        <v>1500</v>
      </c>
      <c r="E21" s="10">
        <v>7.2</v>
      </c>
      <c r="F21" s="10">
        <v>1</v>
      </c>
      <c r="G21" s="10">
        <v>1500</v>
      </c>
      <c r="H21" s="10">
        <v>1</v>
      </c>
      <c r="I21" s="10">
        <v>8640</v>
      </c>
      <c r="J21" s="10">
        <v>6960</v>
      </c>
      <c r="K21" s="10"/>
      <c r="L21" s="10"/>
      <c r="M21" s="21">
        <v>16.42</v>
      </c>
      <c r="N21" s="21">
        <f t="shared" si="8"/>
        <v>6</v>
      </c>
      <c r="O21" s="21">
        <f t="shared" si="9"/>
        <v>3.6470000000000002</v>
      </c>
      <c r="P21" s="21">
        <f t="shared" si="10"/>
        <v>2.6050000000000004</v>
      </c>
      <c r="Q21" s="21">
        <f t="shared" si="11"/>
        <v>2.3966000000000003</v>
      </c>
      <c r="R21" s="21">
        <f t="shared" si="12"/>
        <v>1.7714000000000008</v>
      </c>
    </row>
    <row r="22" spans="1:18" ht="19.5" customHeight="1">
      <c r="A22" s="10">
        <v>10</v>
      </c>
      <c r="B22" s="10" t="s">
        <v>138</v>
      </c>
      <c r="C22" s="10" t="s">
        <v>139</v>
      </c>
      <c r="D22" s="10">
        <v>2650</v>
      </c>
      <c r="E22" s="10">
        <v>6.4</v>
      </c>
      <c r="F22" s="10">
        <v>5</v>
      </c>
      <c r="G22" s="10">
        <v>1750</v>
      </c>
      <c r="H22" s="10">
        <v>2</v>
      </c>
      <c r="I22" s="10">
        <v>8400</v>
      </c>
      <c r="J22" s="10">
        <v>7613</v>
      </c>
      <c r="K22" s="10"/>
      <c r="L22" s="10"/>
      <c r="M22" s="21">
        <v>17.11</v>
      </c>
      <c r="N22" s="21">
        <f t="shared" si="8"/>
        <v>7</v>
      </c>
      <c r="O22" s="21">
        <f t="shared" si="9"/>
        <v>3.5384999999999995</v>
      </c>
      <c r="P22" s="21">
        <f t="shared" si="10"/>
        <v>2.5275</v>
      </c>
      <c r="Q22" s="21">
        <f t="shared" si="11"/>
        <v>2.3253</v>
      </c>
      <c r="R22" s="21">
        <f t="shared" si="12"/>
        <v>1.7187000000000006</v>
      </c>
    </row>
    <row r="23" spans="1:18" ht="19.5" customHeight="1">
      <c r="A23" s="7" t="s">
        <v>38</v>
      </c>
      <c r="B23" s="7" t="s">
        <v>140</v>
      </c>
      <c r="C23" s="7"/>
      <c r="D23" s="7">
        <f aca="true" t="shared" si="13" ref="D23:J23">D24+D27</f>
        <v>13370</v>
      </c>
      <c r="E23" s="7"/>
      <c r="F23" s="7">
        <f t="shared" si="13"/>
        <v>10</v>
      </c>
      <c r="G23" s="7">
        <f t="shared" si="13"/>
        <v>12450</v>
      </c>
      <c r="H23" s="7">
        <f t="shared" si="13"/>
        <v>7</v>
      </c>
      <c r="I23" s="7">
        <f t="shared" si="13"/>
        <v>116436.6</v>
      </c>
      <c r="J23" s="7">
        <f t="shared" si="13"/>
        <v>30379</v>
      </c>
      <c r="K23" s="7"/>
      <c r="L23" s="7"/>
      <c r="M23" s="17">
        <f aca="true" t="shared" si="14" ref="M23:R23">M24+M27</f>
        <v>152.67000000000002</v>
      </c>
      <c r="N23" s="17">
        <f t="shared" si="14"/>
        <v>109.74000000000001</v>
      </c>
      <c r="O23" s="17">
        <f t="shared" si="14"/>
        <v>15.0255</v>
      </c>
      <c r="P23" s="17">
        <f t="shared" si="14"/>
        <v>10.7325</v>
      </c>
      <c r="Q23" s="17">
        <f t="shared" si="14"/>
        <v>9.8739</v>
      </c>
      <c r="R23" s="17">
        <f t="shared" si="14"/>
        <v>7.2981</v>
      </c>
    </row>
    <row r="24" spans="1:18" ht="19.5" customHeight="1">
      <c r="A24" s="3" t="s">
        <v>24</v>
      </c>
      <c r="B24" s="3" t="s">
        <v>40</v>
      </c>
      <c r="C24" s="3"/>
      <c r="D24" s="3">
        <f aca="true" t="shared" si="15" ref="D24:J24">SUM(D25:D26)</f>
        <v>10400</v>
      </c>
      <c r="E24" s="3"/>
      <c r="F24" s="3">
        <f t="shared" si="15"/>
        <v>7</v>
      </c>
      <c r="G24" s="3">
        <f t="shared" si="15"/>
        <v>9990</v>
      </c>
      <c r="H24" s="3">
        <f t="shared" si="15"/>
        <v>6</v>
      </c>
      <c r="I24" s="3">
        <f t="shared" si="15"/>
        <v>108741</v>
      </c>
      <c r="J24" s="3">
        <f t="shared" si="15"/>
        <v>18703</v>
      </c>
      <c r="K24" s="3"/>
      <c r="L24" s="3"/>
      <c r="M24" s="22">
        <f aca="true" t="shared" si="16" ref="M24:R24">SUM(M25:M26)</f>
        <v>132.09</v>
      </c>
      <c r="N24" s="22">
        <f t="shared" si="16"/>
        <v>99.9</v>
      </c>
      <c r="O24" s="22">
        <f t="shared" si="16"/>
        <v>11.266499999999999</v>
      </c>
      <c r="P24" s="22">
        <f t="shared" si="16"/>
        <v>8.0475</v>
      </c>
      <c r="Q24" s="22">
        <f t="shared" si="16"/>
        <v>7.403700000000001</v>
      </c>
      <c r="R24" s="22">
        <f t="shared" si="16"/>
        <v>5.472299999999999</v>
      </c>
    </row>
    <row r="25" spans="1:18" ht="19.5" customHeight="1">
      <c r="A25" s="10">
        <v>1</v>
      </c>
      <c r="B25" s="10" t="s">
        <v>141</v>
      </c>
      <c r="C25" s="10" t="s">
        <v>142</v>
      </c>
      <c r="D25" s="10">
        <v>2300</v>
      </c>
      <c r="E25" s="10">
        <v>11</v>
      </c>
      <c r="F25" s="10">
        <v>2</v>
      </c>
      <c r="G25" s="10">
        <v>2100</v>
      </c>
      <c r="H25" s="10">
        <v>1</v>
      </c>
      <c r="I25" s="10">
        <v>18480</v>
      </c>
      <c r="J25" s="10">
        <v>11760</v>
      </c>
      <c r="K25" s="10"/>
      <c r="L25" s="10"/>
      <c r="M25" s="21">
        <v>29.78</v>
      </c>
      <c r="N25" s="21">
        <f>G25*100/10000</f>
        <v>21</v>
      </c>
      <c r="O25" s="21">
        <f>(M25-N25)*0.35</f>
        <v>3.0730000000000004</v>
      </c>
      <c r="P25" s="21">
        <f>(M25-N25)*0.25</f>
        <v>2.1950000000000003</v>
      </c>
      <c r="Q25" s="21">
        <f>(M25-N25)*0.23</f>
        <v>2.0194000000000005</v>
      </c>
      <c r="R25" s="21">
        <f>M25-N25-O25-P25-Q25</f>
        <v>1.4926</v>
      </c>
    </row>
    <row r="26" spans="1:18" ht="19.5" customHeight="1">
      <c r="A26" s="10">
        <v>2</v>
      </c>
      <c r="B26" s="10" t="s">
        <v>143</v>
      </c>
      <c r="C26" s="10" t="s">
        <v>140</v>
      </c>
      <c r="D26" s="10">
        <v>8100</v>
      </c>
      <c r="E26" s="10">
        <v>13</v>
      </c>
      <c r="F26" s="10">
        <v>5</v>
      </c>
      <c r="G26" s="10">
        <v>7890</v>
      </c>
      <c r="H26" s="10">
        <v>5</v>
      </c>
      <c r="I26" s="10">
        <v>90261</v>
      </c>
      <c r="J26" s="10">
        <v>6943</v>
      </c>
      <c r="K26" s="10"/>
      <c r="L26" s="10"/>
      <c r="M26" s="21">
        <v>102.31</v>
      </c>
      <c r="N26" s="21">
        <f>G26*100/10000</f>
        <v>78.9</v>
      </c>
      <c r="O26" s="21">
        <f>(M26-N26)*0.35</f>
        <v>8.193499999999998</v>
      </c>
      <c r="P26" s="21">
        <f>(M26-N26)*0.25</f>
        <v>5.852499999999999</v>
      </c>
      <c r="Q26" s="21">
        <f>(M26-N26)*0.23</f>
        <v>5.3843</v>
      </c>
      <c r="R26" s="21">
        <f>M26-N26-O26-P26-Q26</f>
        <v>3.9796999999999993</v>
      </c>
    </row>
    <row r="27" spans="1:18" ht="19.5" customHeight="1">
      <c r="A27" s="3" t="s">
        <v>88</v>
      </c>
      <c r="B27" s="3" t="s">
        <v>41</v>
      </c>
      <c r="C27" s="3"/>
      <c r="D27" s="3">
        <f aca="true" t="shared" si="17" ref="D27:J27">SUM(D28:D29)</f>
        <v>2970</v>
      </c>
      <c r="E27" s="3"/>
      <c r="F27" s="3">
        <f t="shared" si="17"/>
        <v>3</v>
      </c>
      <c r="G27" s="3">
        <f t="shared" si="17"/>
        <v>2460</v>
      </c>
      <c r="H27" s="3">
        <f t="shared" si="17"/>
        <v>1</v>
      </c>
      <c r="I27" s="3">
        <f t="shared" si="17"/>
        <v>7695.6</v>
      </c>
      <c r="J27" s="3">
        <f t="shared" si="17"/>
        <v>11676</v>
      </c>
      <c r="K27" s="3"/>
      <c r="L27" s="3"/>
      <c r="M27" s="22">
        <f aca="true" t="shared" si="18" ref="M27:R27">SUM(M28:M29)</f>
        <v>20.580000000000002</v>
      </c>
      <c r="N27" s="22">
        <f t="shared" si="18"/>
        <v>9.84</v>
      </c>
      <c r="O27" s="22">
        <f t="shared" si="18"/>
        <v>3.7590000000000003</v>
      </c>
      <c r="P27" s="22">
        <f t="shared" si="18"/>
        <v>2.6850000000000005</v>
      </c>
      <c r="Q27" s="22">
        <f t="shared" si="18"/>
        <v>2.4702</v>
      </c>
      <c r="R27" s="22">
        <f t="shared" si="18"/>
        <v>1.8258000000000008</v>
      </c>
    </row>
    <row r="28" spans="1:18" ht="19.5" customHeight="1">
      <c r="A28" s="10">
        <v>1</v>
      </c>
      <c r="B28" s="10" t="s">
        <v>144</v>
      </c>
      <c r="C28" s="10" t="s">
        <v>145</v>
      </c>
      <c r="D28" s="10">
        <v>1050</v>
      </c>
      <c r="E28" s="10">
        <v>6.5</v>
      </c>
      <c r="F28" s="10">
        <v>2</v>
      </c>
      <c r="G28" s="10">
        <v>540</v>
      </c>
      <c r="H28" s="10">
        <v>0</v>
      </c>
      <c r="I28" s="10">
        <v>1782</v>
      </c>
      <c r="J28" s="10">
        <v>2268</v>
      </c>
      <c r="K28" s="10"/>
      <c r="L28" s="10"/>
      <c r="M28" s="21">
        <v>4.3</v>
      </c>
      <c r="N28" s="21">
        <f>G28*40/10000</f>
        <v>2.16</v>
      </c>
      <c r="O28" s="21">
        <f>(M28-N28)*0.35</f>
        <v>0.7489999999999999</v>
      </c>
      <c r="P28" s="21">
        <f>(M28-N28)*0.25</f>
        <v>0.5349999999999999</v>
      </c>
      <c r="Q28" s="21">
        <f>(M28-N28)*0.23</f>
        <v>0.49219999999999997</v>
      </c>
      <c r="R28" s="21">
        <f>M28-N28-O28-P28-Q28</f>
        <v>0.3637999999999999</v>
      </c>
    </row>
    <row r="29" spans="1:18" ht="19.5" customHeight="1">
      <c r="A29" s="10">
        <v>2</v>
      </c>
      <c r="B29" s="10" t="s">
        <v>146</v>
      </c>
      <c r="C29" s="10" t="s">
        <v>124</v>
      </c>
      <c r="D29" s="10">
        <v>1920</v>
      </c>
      <c r="E29" s="10">
        <v>6</v>
      </c>
      <c r="F29" s="10">
        <v>1</v>
      </c>
      <c r="G29" s="10">
        <v>1920</v>
      </c>
      <c r="H29" s="10">
        <v>1</v>
      </c>
      <c r="I29" s="10">
        <v>5913.6</v>
      </c>
      <c r="J29" s="10">
        <v>9408</v>
      </c>
      <c r="K29" s="10"/>
      <c r="L29" s="10"/>
      <c r="M29" s="21">
        <v>16.28</v>
      </c>
      <c r="N29" s="21">
        <f>G29*40/10000</f>
        <v>7.68</v>
      </c>
      <c r="O29" s="21">
        <f>(M29-N29)*0.35</f>
        <v>3.0100000000000002</v>
      </c>
      <c r="P29" s="21">
        <f>(M29-N29)*0.25</f>
        <v>2.1500000000000004</v>
      </c>
      <c r="Q29" s="21">
        <f>(M29-N29)*0.23</f>
        <v>1.9780000000000004</v>
      </c>
      <c r="R29" s="21">
        <f>M29-N29-O29-P29-Q29</f>
        <v>1.4620000000000009</v>
      </c>
    </row>
    <row r="30" spans="1:18" ht="19.5" customHeight="1">
      <c r="A30" s="7" t="s">
        <v>44</v>
      </c>
      <c r="B30" s="7" t="s">
        <v>147</v>
      </c>
      <c r="C30" s="7"/>
      <c r="D30" s="7">
        <f aca="true" t="shared" si="19" ref="D30:J30">D32</f>
        <v>6800</v>
      </c>
      <c r="E30" s="7"/>
      <c r="F30" s="7">
        <f t="shared" si="19"/>
        <v>12</v>
      </c>
      <c r="G30" s="7">
        <f t="shared" si="19"/>
        <v>2300</v>
      </c>
      <c r="H30" s="7">
        <f t="shared" si="19"/>
        <v>2</v>
      </c>
      <c r="I30" s="7">
        <f t="shared" si="19"/>
        <v>34500</v>
      </c>
      <c r="J30" s="7">
        <f t="shared" si="19"/>
        <v>2013</v>
      </c>
      <c r="K30" s="7"/>
      <c r="L30" s="7"/>
      <c r="M30" s="17">
        <f aca="true" t="shared" si="20" ref="M30:R30">M32</f>
        <v>44.82</v>
      </c>
      <c r="N30" s="17">
        <f t="shared" si="20"/>
        <v>23</v>
      </c>
      <c r="O30" s="17">
        <f t="shared" si="20"/>
        <v>7.637</v>
      </c>
      <c r="P30" s="17">
        <f t="shared" si="20"/>
        <v>5.455</v>
      </c>
      <c r="Q30" s="17">
        <f t="shared" si="20"/>
        <v>5.0186</v>
      </c>
      <c r="R30" s="17">
        <f t="shared" si="20"/>
        <v>3.7093999999999996</v>
      </c>
    </row>
    <row r="31" spans="1:18" ht="19.5" customHeight="1">
      <c r="A31" s="3" t="s">
        <v>24</v>
      </c>
      <c r="B31" s="3" t="s">
        <v>46</v>
      </c>
      <c r="C31" s="3"/>
      <c r="D31" s="3">
        <f aca="true" t="shared" si="21" ref="D31:J31">D32</f>
        <v>6800</v>
      </c>
      <c r="E31" s="3"/>
      <c r="F31" s="3">
        <f t="shared" si="21"/>
        <v>12</v>
      </c>
      <c r="G31" s="3">
        <f t="shared" si="21"/>
        <v>2300</v>
      </c>
      <c r="H31" s="3">
        <f t="shared" si="21"/>
        <v>2</v>
      </c>
      <c r="I31" s="3">
        <f t="shared" si="21"/>
        <v>34500</v>
      </c>
      <c r="J31" s="3">
        <f t="shared" si="21"/>
        <v>2013</v>
      </c>
      <c r="K31" s="3"/>
      <c r="L31" s="3"/>
      <c r="M31" s="22">
        <f aca="true" t="shared" si="22" ref="M31:R31">M32</f>
        <v>44.82</v>
      </c>
      <c r="N31" s="22">
        <f t="shared" si="22"/>
        <v>23</v>
      </c>
      <c r="O31" s="22">
        <f t="shared" si="22"/>
        <v>7.637</v>
      </c>
      <c r="P31" s="22">
        <f t="shared" si="22"/>
        <v>5.455</v>
      </c>
      <c r="Q31" s="22">
        <f t="shared" si="22"/>
        <v>5.0186</v>
      </c>
      <c r="R31" s="22">
        <f t="shared" si="22"/>
        <v>3.7093999999999996</v>
      </c>
    </row>
    <row r="32" spans="1:18" ht="19.5" customHeight="1">
      <c r="A32" s="10">
        <v>1</v>
      </c>
      <c r="B32" s="10" t="s">
        <v>148</v>
      </c>
      <c r="C32" s="10" t="s">
        <v>149</v>
      </c>
      <c r="D32" s="10">
        <v>6800</v>
      </c>
      <c r="E32" s="10">
        <v>11</v>
      </c>
      <c r="F32" s="10">
        <v>12</v>
      </c>
      <c r="G32" s="10">
        <v>2300</v>
      </c>
      <c r="H32" s="10">
        <v>2</v>
      </c>
      <c r="I32" s="10">
        <v>34500</v>
      </c>
      <c r="J32" s="10">
        <v>2013</v>
      </c>
      <c r="K32" s="10"/>
      <c r="L32" s="10"/>
      <c r="M32" s="21">
        <v>44.82</v>
      </c>
      <c r="N32" s="21">
        <f>G32*100/10000</f>
        <v>23</v>
      </c>
      <c r="O32" s="21">
        <f aca="true" t="shared" si="23" ref="O32:O39">(M32-N32)*0.35</f>
        <v>7.637</v>
      </c>
      <c r="P32" s="21">
        <f aca="true" t="shared" si="24" ref="P32:P39">(M32-N32)*0.25</f>
        <v>5.455</v>
      </c>
      <c r="Q32" s="21">
        <f aca="true" t="shared" si="25" ref="Q32:Q39">(M32-N32)*0.23</f>
        <v>5.0186</v>
      </c>
      <c r="R32" s="21">
        <f aca="true" t="shared" si="26" ref="R32:R39">M32-N32-O32-P32-Q32</f>
        <v>3.7093999999999996</v>
      </c>
    </row>
    <row r="33" spans="1:18" ht="14.25">
      <c r="A33" s="7" t="s">
        <v>49</v>
      </c>
      <c r="B33" s="7" t="s">
        <v>150</v>
      </c>
      <c r="C33" s="7"/>
      <c r="D33" s="7">
        <f>D34+D36</f>
        <v>29000</v>
      </c>
      <c r="E33" s="7"/>
      <c r="F33" s="7">
        <f>F34+F36</f>
        <v>22</v>
      </c>
      <c r="G33" s="7">
        <f>G34+G36</f>
        <v>15900</v>
      </c>
      <c r="H33" s="7"/>
      <c r="I33" s="7">
        <f aca="true" t="shared" si="27" ref="I33:R33">I34+I36</f>
        <v>128600</v>
      </c>
      <c r="J33" s="7">
        <f t="shared" si="27"/>
        <v>4494</v>
      </c>
      <c r="K33" s="7"/>
      <c r="L33" s="7"/>
      <c r="M33" s="17">
        <f t="shared" si="27"/>
        <v>168.45</v>
      </c>
      <c r="N33" s="17">
        <f t="shared" si="27"/>
        <v>91.8</v>
      </c>
      <c r="O33" s="17">
        <f t="shared" si="27"/>
        <v>26.8275</v>
      </c>
      <c r="P33" s="17">
        <f t="shared" si="27"/>
        <v>19.1625</v>
      </c>
      <c r="Q33" s="17">
        <f t="shared" si="27"/>
        <v>17.6295</v>
      </c>
      <c r="R33" s="17">
        <f t="shared" si="27"/>
        <v>13.030500000000002</v>
      </c>
    </row>
    <row r="34" spans="1:18" ht="14.25">
      <c r="A34" s="3" t="s">
        <v>24</v>
      </c>
      <c r="B34" s="3" t="s">
        <v>151</v>
      </c>
      <c r="C34" s="3"/>
      <c r="D34" s="3">
        <f>SUM(D35:D35)</f>
        <v>8200</v>
      </c>
      <c r="E34" s="3"/>
      <c r="F34" s="3">
        <f>SUM(F35:F35)</f>
        <v>6</v>
      </c>
      <c r="G34" s="3">
        <f>SUM(G35:G35)</f>
        <v>4700</v>
      </c>
      <c r="H34" s="3"/>
      <c r="I34" s="3">
        <f aca="true" t="shared" si="28" ref="I34:R34">SUM(I35:I35)</f>
        <v>56400</v>
      </c>
      <c r="J34" s="3">
        <v>4113</v>
      </c>
      <c r="K34" s="3"/>
      <c r="L34" s="3"/>
      <c r="M34" s="22">
        <f t="shared" si="28"/>
        <v>67.81</v>
      </c>
      <c r="N34" s="22">
        <f t="shared" si="28"/>
        <v>47</v>
      </c>
      <c r="O34" s="22">
        <f t="shared" si="28"/>
        <v>7.2835</v>
      </c>
      <c r="P34" s="22">
        <f t="shared" si="28"/>
        <v>5.202500000000001</v>
      </c>
      <c r="Q34" s="22">
        <f t="shared" si="28"/>
        <v>4.786300000000001</v>
      </c>
      <c r="R34" s="22">
        <f t="shared" si="28"/>
        <v>3.537700000000001</v>
      </c>
    </row>
    <row r="35" spans="1:18" ht="14.25">
      <c r="A35" s="10">
        <v>1</v>
      </c>
      <c r="B35" s="11" t="s">
        <v>152</v>
      </c>
      <c r="C35" s="11" t="s">
        <v>212</v>
      </c>
      <c r="D35" s="12">
        <v>8200</v>
      </c>
      <c r="E35" s="12">
        <v>12</v>
      </c>
      <c r="F35" s="10">
        <v>6</v>
      </c>
      <c r="G35" s="12">
        <v>4700</v>
      </c>
      <c r="H35" s="10">
        <v>3</v>
      </c>
      <c r="I35" s="10">
        <v>56400</v>
      </c>
      <c r="J35" s="10">
        <v>4113</v>
      </c>
      <c r="K35" s="10"/>
      <c r="L35" s="10"/>
      <c r="M35" s="21">
        <v>67.81</v>
      </c>
      <c r="N35" s="21">
        <f>G35*100/10000</f>
        <v>47</v>
      </c>
      <c r="O35" s="21">
        <f t="shared" si="23"/>
        <v>7.2835</v>
      </c>
      <c r="P35" s="21">
        <f t="shared" si="24"/>
        <v>5.202500000000001</v>
      </c>
      <c r="Q35" s="21">
        <f t="shared" si="25"/>
        <v>4.786300000000001</v>
      </c>
      <c r="R35" s="21">
        <f t="shared" si="26"/>
        <v>3.537700000000001</v>
      </c>
    </row>
    <row r="36" spans="1:18" ht="14.25">
      <c r="A36" s="3" t="s">
        <v>88</v>
      </c>
      <c r="B36" s="3" t="s">
        <v>52</v>
      </c>
      <c r="C36" s="13"/>
      <c r="D36" s="14">
        <f>SUM(D37:D39)</f>
        <v>20800</v>
      </c>
      <c r="E36" s="14"/>
      <c r="F36" s="14">
        <f>SUM(F37:F39)</f>
        <v>16</v>
      </c>
      <c r="G36" s="14">
        <f>SUM(G37:G39)</f>
        <v>11200</v>
      </c>
      <c r="H36" s="14"/>
      <c r="I36" s="14">
        <f aca="true" t="shared" si="29" ref="I36:R36">SUM(I37:I39)</f>
        <v>72200</v>
      </c>
      <c r="J36" s="14">
        <f t="shared" si="29"/>
        <v>381</v>
      </c>
      <c r="K36" s="14"/>
      <c r="L36" s="14"/>
      <c r="M36" s="23">
        <f t="shared" si="29"/>
        <v>100.64</v>
      </c>
      <c r="N36" s="23">
        <f t="shared" si="29"/>
        <v>44.8</v>
      </c>
      <c r="O36" s="23">
        <f t="shared" si="29"/>
        <v>19.544</v>
      </c>
      <c r="P36" s="23">
        <f t="shared" si="29"/>
        <v>13.96</v>
      </c>
      <c r="Q36" s="23">
        <f t="shared" si="29"/>
        <v>12.8432</v>
      </c>
      <c r="R36" s="23">
        <f t="shared" si="29"/>
        <v>9.4928</v>
      </c>
    </row>
    <row r="37" spans="1:18" ht="14.25">
      <c r="A37" s="10">
        <v>1</v>
      </c>
      <c r="B37" s="15" t="s">
        <v>153</v>
      </c>
      <c r="C37" s="15" t="s">
        <v>154</v>
      </c>
      <c r="D37" s="16">
        <v>12600</v>
      </c>
      <c r="E37" s="16">
        <v>7</v>
      </c>
      <c r="F37" s="10">
        <v>7</v>
      </c>
      <c r="G37" s="16">
        <v>3000</v>
      </c>
      <c r="H37" s="10">
        <v>3</v>
      </c>
      <c r="I37" s="10">
        <v>21000</v>
      </c>
      <c r="J37" s="10">
        <v>211</v>
      </c>
      <c r="K37" s="10"/>
      <c r="L37" s="10"/>
      <c r="M37" s="21">
        <v>28.3</v>
      </c>
      <c r="N37" s="21">
        <f>G37*40/10000</f>
        <v>12</v>
      </c>
      <c r="O37" s="21">
        <f t="shared" si="23"/>
        <v>5.705</v>
      </c>
      <c r="P37" s="21">
        <f t="shared" si="24"/>
        <v>4.075</v>
      </c>
      <c r="Q37" s="21">
        <f t="shared" si="25"/>
        <v>3.749</v>
      </c>
      <c r="R37" s="21">
        <f t="shared" si="26"/>
        <v>2.7710000000000004</v>
      </c>
    </row>
    <row r="38" spans="1:18" ht="14.25">
      <c r="A38" s="10">
        <v>2</v>
      </c>
      <c r="B38" s="15" t="s">
        <v>155</v>
      </c>
      <c r="C38" s="15" t="s">
        <v>156</v>
      </c>
      <c r="D38" s="16">
        <v>6200</v>
      </c>
      <c r="E38" s="16">
        <v>6</v>
      </c>
      <c r="F38" s="10">
        <v>5</v>
      </c>
      <c r="G38" s="16">
        <v>6200</v>
      </c>
      <c r="H38" s="10">
        <v>5</v>
      </c>
      <c r="I38" s="10">
        <v>37200</v>
      </c>
      <c r="J38" s="10">
        <v>102</v>
      </c>
      <c r="K38" s="10"/>
      <c r="L38" s="10"/>
      <c r="M38" s="21">
        <v>53.47</v>
      </c>
      <c r="N38" s="21">
        <f>G38*40/10000</f>
        <v>24.8</v>
      </c>
      <c r="O38" s="21">
        <f t="shared" si="23"/>
        <v>10.0345</v>
      </c>
      <c r="P38" s="21">
        <f t="shared" si="24"/>
        <v>7.1674999999999995</v>
      </c>
      <c r="Q38" s="21">
        <f t="shared" si="25"/>
        <v>6.5941</v>
      </c>
      <c r="R38" s="21">
        <f t="shared" si="26"/>
        <v>4.8739</v>
      </c>
    </row>
    <row r="39" spans="1:18" ht="14.25">
      <c r="A39" s="10">
        <v>3</v>
      </c>
      <c r="B39" s="15" t="s">
        <v>157</v>
      </c>
      <c r="C39" s="15" t="s">
        <v>158</v>
      </c>
      <c r="D39" s="16">
        <v>2000</v>
      </c>
      <c r="E39" s="16">
        <v>7</v>
      </c>
      <c r="F39" s="10">
        <v>4</v>
      </c>
      <c r="G39" s="16">
        <v>2000</v>
      </c>
      <c r="H39" s="10">
        <v>4</v>
      </c>
      <c r="I39" s="10">
        <v>14000</v>
      </c>
      <c r="J39" s="10">
        <v>68</v>
      </c>
      <c r="K39" s="10"/>
      <c r="L39" s="10"/>
      <c r="M39" s="21">
        <v>18.87</v>
      </c>
      <c r="N39" s="21">
        <f>G39*40/10000</f>
        <v>8</v>
      </c>
      <c r="O39" s="21">
        <f t="shared" si="23"/>
        <v>3.8045</v>
      </c>
      <c r="P39" s="21">
        <f t="shared" si="24"/>
        <v>2.7175000000000002</v>
      </c>
      <c r="Q39" s="21">
        <f t="shared" si="25"/>
        <v>2.5001</v>
      </c>
      <c r="R39" s="21">
        <f t="shared" si="26"/>
        <v>1.8479000000000005</v>
      </c>
    </row>
    <row r="40" spans="1:18" ht="14.25">
      <c r="A40" s="7" t="s">
        <v>55</v>
      </c>
      <c r="B40" s="7" t="s">
        <v>213</v>
      </c>
      <c r="C40" s="7"/>
      <c r="D40" s="7">
        <f aca="true" t="shared" si="30" ref="D40:J40">D41+D43</f>
        <v>8900</v>
      </c>
      <c r="E40" s="7"/>
      <c r="F40" s="7">
        <f t="shared" si="30"/>
        <v>8</v>
      </c>
      <c r="G40" s="7">
        <f t="shared" si="30"/>
        <v>7200</v>
      </c>
      <c r="H40" s="7">
        <f t="shared" si="30"/>
        <v>6</v>
      </c>
      <c r="I40" s="7">
        <f t="shared" si="30"/>
        <v>52000</v>
      </c>
      <c r="J40" s="7">
        <f t="shared" si="30"/>
        <v>4720</v>
      </c>
      <c r="K40" s="7"/>
      <c r="L40" s="7"/>
      <c r="M40" s="17">
        <f aca="true" t="shared" si="31" ref="M40:R40">M41+M43</f>
        <v>73.71000000000001</v>
      </c>
      <c r="N40" s="17">
        <f t="shared" si="31"/>
        <v>48</v>
      </c>
      <c r="O40" s="17">
        <f t="shared" si="31"/>
        <v>8.9985</v>
      </c>
      <c r="P40" s="17">
        <f t="shared" si="31"/>
        <v>6.4275</v>
      </c>
      <c r="Q40" s="17">
        <f t="shared" si="31"/>
        <v>5.9133000000000004</v>
      </c>
      <c r="R40" s="17">
        <f t="shared" si="31"/>
        <v>4.3707</v>
      </c>
    </row>
    <row r="41" spans="1:18" ht="14.25">
      <c r="A41" s="8" t="s">
        <v>24</v>
      </c>
      <c r="B41" s="8" t="s">
        <v>214</v>
      </c>
      <c r="C41" s="8"/>
      <c r="D41" s="8">
        <f>D42</f>
        <v>3500</v>
      </c>
      <c r="E41" s="8"/>
      <c r="F41" s="8">
        <f>SUM(F42:F42)</f>
        <v>5</v>
      </c>
      <c r="G41" s="8">
        <f>G42</f>
        <v>3200</v>
      </c>
      <c r="H41" s="8">
        <f>SUM(H42:H42)</f>
        <v>3</v>
      </c>
      <c r="I41" s="8">
        <f>SUM(I42:I42)</f>
        <v>32000</v>
      </c>
      <c r="J41" s="8">
        <f>SUM(J42:J42)</f>
        <v>2800</v>
      </c>
      <c r="K41" s="8"/>
      <c r="L41" s="8"/>
      <c r="M41" s="18">
        <f aca="true" t="shared" si="32" ref="M41:R41">SUM(M42:M42)</f>
        <v>41</v>
      </c>
      <c r="N41" s="18">
        <f t="shared" si="32"/>
        <v>32</v>
      </c>
      <c r="O41" s="18">
        <f t="shared" si="32"/>
        <v>3.15</v>
      </c>
      <c r="P41" s="18">
        <f t="shared" si="32"/>
        <v>2.25</v>
      </c>
      <c r="Q41" s="18">
        <f t="shared" si="32"/>
        <v>2.0700000000000003</v>
      </c>
      <c r="R41" s="18">
        <f t="shared" si="32"/>
        <v>1.5299999999999994</v>
      </c>
    </row>
    <row r="42" spans="1:18" ht="14.25">
      <c r="A42" s="9">
        <v>1</v>
      </c>
      <c r="B42" s="9" t="s">
        <v>215</v>
      </c>
      <c r="C42" s="9" t="s">
        <v>139</v>
      </c>
      <c r="D42" s="9">
        <v>3500</v>
      </c>
      <c r="E42" s="9">
        <v>10</v>
      </c>
      <c r="F42" s="9">
        <v>5</v>
      </c>
      <c r="G42" s="9">
        <v>3200</v>
      </c>
      <c r="H42" s="9">
        <v>3</v>
      </c>
      <c r="I42" s="9">
        <v>32000</v>
      </c>
      <c r="J42" s="9">
        <v>2800</v>
      </c>
      <c r="K42" s="9"/>
      <c r="L42" s="9"/>
      <c r="M42" s="19">
        <v>41</v>
      </c>
      <c r="N42" s="19">
        <f>G42*100/10000</f>
        <v>32</v>
      </c>
      <c r="O42" s="19">
        <f aca="true" t="shared" si="33" ref="O42:O49">(M42-N42)*0.35</f>
        <v>3.15</v>
      </c>
      <c r="P42" s="19">
        <f aca="true" t="shared" si="34" ref="P42:P49">(M42-N42)*0.25</f>
        <v>2.25</v>
      </c>
      <c r="Q42" s="19">
        <f aca="true" t="shared" si="35" ref="Q42:Q49">(M42-N42)*0.23</f>
        <v>2.0700000000000003</v>
      </c>
      <c r="R42" s="19">
        <f aca="true" t="shared" si="36" ref="R42:R49">M42-N42-O42-P42-Q42</f>
        <v>1.5299999999999994</v>
      </c>
    </row>
    <row r="43" spans="1:18" ht="14.25">
      <c r="A43" s="8" t="s">
        <v>88</v>
      </c>
      <c r="B43" s="8" t="s">
        <v>57</v>
      </c>
      <c r="C43" s="8"/>
      <c r="D43" s="8">
        <f aca="true" t="shared" si="37" ref="D43:J43">SUM(D44:D44)</f>
        <v>5400</v>
      </c>
      <c r="E43" s="8"/>
      <c r="F43" s="8">
        <f t="shared" si="37"/>
        <v>3</v>
      </c>
      <c r="G43" s="8">
        <f t="shared" si="37"/>
        <v>4000</v>
      </c>
      <c r="H43" s="8">
        <f t="shared" si="37"/>
        <v>3</v>
      </c>
      <c r="I43" s="8">
        <f t="shared" si="37"/>
        <v>20000</v>
      </c>
      <c r="J43" s="8">
        <f t="shared" si="37"/>
        <v>1920</v>
      </c>
      <c r="K43" s="8"/>
      <c r="L43" s="8"/>
      <c r="M43" s="18">
        <f aca="true" t="shared" si="38" ref="M43:R43">SUM(M44:M44)</f>
        <v>32.71</v>
      </c>
      <c r="N43" s="18">
        <f t="shared" si="38"/>
        <v>16</v>
      </c>
      <c r="O43" s="18">
        <f t="shared" si="38"/>
        <v>5.8485</v>
      </c>
      <c r="P43" s="18">
        <f t="shared" si="38"/>
        <v>4.1775</v>
      </c>
      <c r="Q43" s="18">
        <f t="shared" si="38"/>
        <v>3.8433</v>
      </c>
      <c r="R43" s="18">
        <f t="shared" si="38"/>
        <v>2.840700000000001</v>
      </c>
    </row>
    <row r="44" spans="1:18" ht="14.25">
      <c r="A44" s="10">
        <v>1</v>
      </c>
      <c r="B44" s="10" t="s">
        <v>159</v>
      </c>
      <c r="C44" s="10" t="s">
        <v>160</v>
      </c>
      <c r="D44" s="10">
        <v>5400</v>
      </c>
      <c r="E44" s="10">
        <v>5</v>
      </c>
      <c r="F44" s="10">
        <v>3</v>
      </c>
      <c r="G44" s="10">
        <v>4000</v>
      </c>
      <c r="H44" s="10">
        <v>3</v>
      </c>
      <c r="I44" s="10">
        <v>20000</v>
      </c>
      <c r="J44" s="10">
        <v>1920</v>
      </c>
      <c r="K44" s="10"/>
      <c r="L44" s="10"/>
      <c r="M44" s="21">
        <v>32.71</v>
      </c>
      <c r="N44" s="21">
        <f>G44*40/10000</f>
        <v>16</v>
      </c>
      <c r="O44" s="21">
        <f t="shared" si="33"/>
        <v>5.8485</v>
      </c>
      <c r="P44" s="21">
        <f t="shared" si="34"/>
        <v>4.1775</v>
      </c>
      <c r="Q44" s="21">
        <f t="shared" si="35"/>
        <v>3.8433</v>
      </c>
      <c r="R44" s="21">
        <f t="shared" si="36"/>
        <v>2.840700000000001</v>
      </c>
    </row>
    <row r="45" spans="1:18" ht="14.25">
      <c r="A45" s="7" t="s">
        <v>60</v>
      </c>
      <c r="B45" s="7" t="s">
        <v>216</v>
      </c>
      <c r="C45" s="7"/>
      <c r="D45" s="7">
        <f>D46+D50</f>
        <v>12160</v>
      </c>
      <c r="E45" s="7"/>
      <c r="F45" s="7">
        <f>F46+F50</f>
        <v>30</v>
      </c>
      <c r="G45" s="7">
        <f>G46+G50</f>
        <v>9060</v>
      </c>
      <c r="H45" s="7"/>
      <c r="I45" s="7">
        <f aca="true" t="shared" si="39" ref="I45:R45">I46+I50</f>
        <v>73800</v>
      </c>
      <c r="J45" s="7">
        <f t="shared" si="39"/>
        <v>5271</v>
      </c>
      <c r="K45" s="7"/>
      <c r="L45" s="7"/>
      <c r="M45" s="17">
        <f t="shared" si="39"/>
        <v>99.522429</v>
      </c>
      <c r="N45" s="17">
        <f t="shared" si="39"/>
        <v>71.64</v>
      </c>
      <c r="O45" s="17">
        <f t="shared" si="39"/>
        <v>9.75885015</v>
      </c>
      <c r="P45" s="17">
        <f t="shared" si="39"/>
        <v>6.97060725</v>
      </c>
      <c r="Q45" s="17">
        <f t="shared" si="39"/>
        <v>6.41295867</v>
      </c>
      <c r="R45" s="17">
        <f t="shared" si="39"/>
        <v>4.74001293</v>
      </c>
    </row>
    <row r="46" spans="1:18" ht="14.25">
      <c r="A46" s="3" t="s">
        <v>24</v>
      </c>
      <c r="B46" s="3" t="s">
        <v>161</v>
      </c>
      <c r="C46" s="3"/>
      <c r="D46" s="3">
        <f>SUM(D47:D49)</f>
        <v>9000</v>
      </c>
      <c r="E46" s="3"/>
      <c r="F46" s="3">
        <f>SUM(F47:F49)</f>
        <v>14</v>
      </c>
      <c r="G46" s="3">
        <f>SUM(G47:G49)</f>
        <v>5900</v>
      </c>
      <c r="H46" s="3"/>
      <c r="I46" s="3">
        <f aca="true" t="shared" si="40" ref="I46:R46">SUM(I47:I49)</f>
        <v>59000</v>
      </c>
      <c r="J46" s="3">
        <f t="shared" si="40"/>
        <v>5164</v>
      </c>
      <c r="K46" s="3"/>
      <c r="L46" s="3"/>
      <c r="M46" s="22">
        <f t="shared" si="40"/>
        <v>75.586556</v>
      </c>
      <c r="N46" s="22">
        <f t="shared" si="40"/>
        <v>59</v>
      </c>
      <c r="O46" s="22">
        <f t="shared" si="40"/>
        <v>5.805294599999999</v>
      </c>
      <c r="P46" s="22">
        <f t="shared" si="40"/>
        <v>4.1466389999999995</v>
      </c>
      <c r="Q46" s="22">
        <f t="shared" si="40"/>
        <v>3.81490788</v>
      </c>
      <c r="R46" s="22">
        <f t="shared" si="40"/>
        <v>2.81971452</v>
      </c>
    </row>
    <row r="47" spans="1:18" ht="14.25">
      <c r="A47" s="10">
        <v>1</v>
      </c>
      <c r="B47" s="11" t="s">
        <v>162</v>
      </c>
      <c r="C47" s="11" t="s">
        <v>163</v>
      </c>
      <c r="D47" s="12">
        <v>3000</v>
      </c>
      <c r="E47" s="12">
        <v>12</v>
      </c>
      <c r="F47" s="10">
        <v>5</v>
      </c>
      <c r="G47" s="12">
        <v>2100</v>
      </c>
      <c r="H47" s="10"/>
      <c r="I47" s="10">
        <v>21000</v>
      </c>
      <c r="J47" s="10">
        <v>1838</v>
      </c>
      <c r="K47" s="10"/>
      <c r="L47" s="10"/>
      <c r="M47" s="21">
        <f>269036.62/10000</f>
        <v>26.903662</v>
      </c>
      <c r="N47" s="21">
        <f>G47*100/10000</f>
        <v>21</v>
      </c>
      <c r="O47" s="21">
        <f t="shared" si="33"/>
        <v>2.0662817</v>
      </c>
      <c r="P47" s="21">
        <f t="shared" si="34"/>
        <v>1.4759155000000002</v>
      </c>
      <c r="Q47" s="21">
        <f t="shared" si="35"/>
        <v>1.3578422600000002</v>
      </c>
      <c r="R47" s="21">
        <f t="shared" si="36"/>
        <v>1.00362254</v>
      </c>
    </row>
    <row r="48" spans="1:18" ht="14.25">
      <c r="A48" s="10">
        <v>2</v>
      </c>
      <c r="B48" s="15" t="s">
        <v>164</v>
      </c>
      <c r="C48" s="15" t="s">
        <v>163</v>
      </c>
      <c r="D48" s="16">
        <v>3500</v>
      </c>
      <c r="E48" s="16">
        <v>12</v>
      </c>
      <c r="F48" s="10">
        <v>6</v>
      </c>
      <c r="G48" s="16">
        <v>1900</v>
      </c>
      <c r="H48" s="10"/>
      <c r="I48" s="10">
        <v>19000</v>
      </c>
      <c r="J48" s="10">
        <v>1663</v>
      </c>
      <c r="K48" s="10"/>
      <c r="L48" s="10"/>
      <c r="M48" s="21">
        <f>243414.47/10000</f>
        <v>24.341447</v>
      </c>
      <c r="N48" s="21">
        <f>G48*100/10000</f>
        <v>19</v>
      </c>
      <c r="O48" s="21">
        <f t="shared" si="33"/>
        <v>1.8695064499999994</v>
      </c>
      <c r="P48" s="21">
        <f t="shared" si="34"/>
        <v>1.3353617499999997</v>
      </c>
      <c r="Q48" s="21">
        <f t="shared" si="35"/>
        <v>1.2285328099999997</v>
      </c>
      <c r="R48" s="21">
        <f t="shared" si="36"/>
        <v>0.90804599</v>
      </c>
    </row>
    <row r="49" spans="1:18" ht="14.25">
      <c r="A49" s="10">
        <v>3</v>
      </c>
      <c r="B49" s="15" t="s">
        <v>165</v>
      </c>
      <c r="C49" s="15" t="s">
        <v>166</v>
      </c>
      <c r="D49" s="16">
        <v>2500</v>
      </c>
      <c r="E49" s="16">
        <v>12</v>
      </c>
      <c r="F49" s="10">
        <v>3</v>
      </c>
      <c r="G49" s="16">
        <v>1900</v>
      </c>
      <c r="H49" s="10"/>
      <c r="I49" s="10">
        <v>19000</v>
      </c>
      <c r="J49" s="10">
        <v>1663</v>
      </c>
      <c r="K49" s="10"/>
      <c r="L49" s="10"/>
      <c r="M49" s="21">
        <f>243414.47/10000</f>
        <v>24.341447</v>
      </c>
      <c r="N49" s="21">
        <f>G49*100/10000</f>
        <v>19</v>
      </c>
      <c r="O49" s="21">
        <f t="shared" si="33"/>
        <v>1.8695064499999994</v>
      </c>
      <c r="P49" s="21">
        <f t="shared" si="34"/>
        <v>1.3353617499999997</v>
      </c>
      <c r="Q49" s="21">
        <f t="shared" si="35"/>
        <v>1.2285328099999997</v>
      </c>
      <c r="R49" s="21">
        <f t="shared" si="36"/>
        <v>0.90804599</v>
      </c>
    </row>
    <row r="50" spans="1:18" ht="14.25">
      <c r="A50" s="3" t="s">
        <v>88</v>
      </c>
      <c r="B50" s="3" t="s">
        <v>63</v>
      </c>
      <c r="C50" s="13"/>
      <c r="D50" s="14">
        <f>SUM(D51:D53)</f>
        <v>3160</v>
      </c>
      <c r="E50" s="14"/>
      <c r="F50" s="14">
        <f>SUM(F51:F53)</f>
        <v>16</v>
      </c>
      <c r="G50" s="14">
        <f>SUM(G51:G53)</f>
        <v>3160</v>
      </c>
      <c r="H50" s="14"/>
      <c r="I50" s="14">
        <f aca="true" t="shared" si="41" ref="I50:R50">SUM(I51:I53)</f>
        <v>14800</v>
      </c>
      <c r="J50" s="14">
        <f t="shared" si="41"/>
        <v>107</v>
      </c>
      <c r="K50" s="14"/>
      <c r="L50" s="14"/>
      <c r="M50" s="23">
        <f t="shared" si="41"/>
        <v>23.935873</v>
      </c>
      <c r="N50" s="23">
        <f t="shared" si="41"/>
        <v>12.64</v>
      </c>
      <c r="O50" s="23">
        <f t="shared" si="41"/>
        <v>3.953555550000001</v>
      </c>
      <c r="P50" s="23">
        <f t="shared" si="41"/>
        <v>2.82396825</v>
      </c>
      <c r="Q50" s="23">
        <f t="shared" si="41"/>
        <v>2.5980507900000003</v>
      </c>
      <c r="R50" s="23">
        <f t="shared" si="41"/>
        <v>1.92029841</v>
      </c>
    </row>
    <row r="51" spans="1:18" ht="14.25">
      <c r="A51" s="10">
        <v>1</v>
      </c>
      <c r="B51" s="15" t="s">
        <v>167</v>
      </c>
      <c r="C51" s="15" t="s">
        <v>168</v>
      </c>
      <c r="D51" s="16">
        <v>1600</v>
      </c>
      <c r="E51" s="16">
        <v>6</v>
      </c>
      <c r="F51" s="10">
        <v>5</v>
      </c>
      <c r="G51" s="16">
        <v>1600</v>
      </c>
      <c r="H51" s="10"/>
      <c r="I51" s="10">
        <v>7500</v>
      </c>
      <c r="J51" s="10">
        <v>54</v>
      </c>
      <c r="K51" s="10"/>
      <c r="L51" s="10"/>
      <c r="M51" s="21">
        <f>121192.86/10000</f>
        <v>12.119286</v>
      </c>
      <c r="N51" s="21">
        <f>G51*40/10000</f>
        <v>6.4</v>
      </c>
      <c r="O51" s="21">
        <f>(M51-N51)*0.35</f>
        <v>2.0017501</v>
      </c>
      <c r="P51" s="21">
        <f>(M51-N51)*0.25</f>
        <v>1.4298215</v>
      </c>
      <c r="Q51" s="21">
        <f>(M51-N51)*0.23</f>
        <v>1.31543578</v>
      </c>
      <c r="R51" s="21">
        <f>M51-N51-O51-P51-Q51</f>
        <v>0.97227862</v>
      </c>
    </row>
    <row r="52" spans="1:18" ht="14.25">
      <c r="A52" s="10">
        <v>2</v>
      </c>
      <c r="B52" s="15" t="s">
        <v>169</v>
      </c>
      <c r="C52" s="15" t="s">
        <v>170</v>
      </c>
      <c r="D52" s="16">
        <v>600</v>
      </c>
      <c r="E52" s="16">
        <v>6</v>
      </c>
      <c r="F52" s="10">
        <v>6</v>
      </c>
      <c r="G52" s="16">
        <v>600</v>
      </c>
      <c r="H52" s="10"/>
      <c r="I52" s="10">
        <v>2800</v>
      </c>
      <c r="J52" s="10">
        <v>20</v>
      </c>
      <c r="K52" s="10"/>
      <c r="L52" s="10"/>
      <c r="M52" s="21">
        <f>45445.3/10000</f>
        <v>4.54453</v>
      </c>
      <c r="N52" s="21">
        <f>G52*40/10000</f>
        <v>2.4</v>
      </c>
      <c r="O52" s="21">
        <f>(M52-N52)*0.35</f>
        <v>0.7505855</v>
      </c>
      <c r="P52" s="21">
        <f>(M52-N52)*0.25</f>
        <v>0.5361325</v>
      </c>
      <c r="Q52" s="21">
        <f>(M52-N52)*0.23</f>
        <v>0.4932419</v>
      </c>
      <c r="R52" s="21">
        <f>M52-N52-O52-P52-Q52</f>
        <v>0.3645700999999999</v>
      </c>
    </row>
    <row r="53" spans="1:18" ht="14.25">
      <c r="A53" s="10">
        <v>3</v>
      </c>
      <c r="B53" s="15" t="s">
        <v>171</v>
      </c>
      <c r="C53" s="15" t="s">
        <v>172</v>
      </c>
      <c r="D53" s="16">
        <v>960</v>
      </c>
      <c r="E53" s="16">
        <v>6</v>
      </c>
      <c r="F53" s="10">
        <v>5</v>
      </c>
      <c r="G53" s="16">
        <v>960</v>
      </c>
      <c r="H53" s="10"/>
      <c r="I53" s="10">
        <v>4500</v>
      </c>
      <c r="J53" s="10">
        <v>33</v>
      </c>
      <c r="K53" s="10"/>
      <c r="L53" s="10"/>
      <c r="M53" s="21">
        <f>72720.57/10000</f>
        <v>7.272057000000001</v>
      </c>
      <c r="N53" s="21">
        <f>G53*40/10000</f>
        <v>3.84</v>
      </c>
      <c r="O53" s="21">
        <f>(M53-N53)*0.35</f>
        <v>1.2012199500000003</v>
      </c>
      <c r="P53" s="21">
        <f>(M53-N53)*0.25</f>
        <v>0.8580142500000003</v>
      </c>
      <c r="Q53" s="21">
        <f>(M53-N53)*0.23</f>
        <v>0.7893731100000003</v>
      </c>
      <c r="R53" s="21">
        <f>M53-N53-O53-P53-Q53</f>
        <v>0.5834496900000001</v>
      </c>
    </row>
    <row r="54" spans="1:18" ht="14.25">
      <c r="A54" s="7" t="s">
        <v>66</v>
      </c>
      <c r="B54" s="7" t="s">
        <v>217</v>
      </c>
      <c r="C54" s="7"/>
      <c r="D54" s="7">
        <f>D55</f>
        <v>5100</v>
      </c>
      <c r="E54" s="7"/>
      <c r="F54" s="7">
        <f>F55</f>
        <v>12</v>
      </c>
      <c r="G54" s="7">
        <f>G55</f>
        <v>5100</v>
      </c>
      <c r="H54" s="7"/>
      <c r="I54" s="7">
        <f aca="true" t="shared" si="42" ref="I54:R54">I55</f>
        <v>24000</v>
      </c>
      <c r="J54" s="7">
        <f t="shared" si="42"/>
        <v>173</v>
      </c>
      <c r="K54" s="7"/>
      <c r="L54" s="7"/>
      <c r="M54" s="17">
        <f t="shared" si="42"/>
        <v>38.630932</v>
      </c>
      <c r="N54" s="17">
        <f t="shared" si="42"/>
        <v>20.4</v>
      </c>
      <c r="O54" s="17">
        <f t="shared" si="42"/>
        <v>6.380826199999998</v>
      </c>
      <c r="P54" s="17">
        <f t="shared" si="42"/>
        <v>4.557733</v>
      </c>
      <c r="Q54" s="17">
        <f t="shared" si="42"/>
        <v>4.193114359999999</v>
      </c>
      <c r="R54" s="17">
        <f t="shared" si="42"/>
        <v>3.0992584399999985</v>
      </c>
    </row>
    <row r="55" spans="1:18" ht="14.25">
      <c r="A55" s="3" t="s">
        <v>88</v>
      </c>
      <c r="B55" s="3" t="s">
        <v>68</v>
      </c>
      <c r="C55" s="3"/>
      <c r="D55" s="3">
        <f>SUM(D56:D58)</f>
        <v>5100</v>
      </c>
      <c r="E55" s="3"/>
      <c r="F55" s="3">
        <f>SUM(F56:F58)</f>
        <v>12</v>
      </c>
      <c r="G55" s="3">
        <f>SUM(G56:G58)</f>
        <v>5100</v>
      </c>
      <c r="H55" s="3"/>
      <c r="I55" s="3">
        <f aca="true" t="shared" si="43" ref="I55:R55">SUM(I56:I58)</f>
        <v>24000</v>
      </c>
      <c r="J55" s="3">
        <f t="shared" si="43"/>
        <v>173</v>
      </c>
      <c r="K55" s="3"/>
      <c r="L55" s="3"/>
      <c r="M55" s="22">
        <f t="shared" si="43"/>
        <v>38.630932</v>
      </c>
      <c r="N55" s="22">
        <f t="shared" si="43"/>
        <v>20.4</v>
      </c>
      <c r="O55" s="22">
        <f t="shared" si="43"/>
        <v>6.380826199999998</v>
      </c>
      <c r="P55" s="22">
        <f t="shared" si="43"/>
        <v>4.557733</v>
      </c>
      <c r="Q55" s="22">
        <f t="shared" si="43"/>
        <v>4.193114359999999</v>
      </c>
      <c r="R55" s="22">
        <f t="shared" si="43"/>
        <v>3.0992584399999985</v>
      </c>
    </row>
    <row r="56" spans="1:18" ht="14.25">
      <c r="A56" s="10">
        <v>1</v>
      </c>
      <c r="B56" s="15" t="s">
        <v>173</v>
      </c>
      <c r="C56" s="15" t="s">
        <v>174</v>
      </c>
      <c r="D56" s="16">
        <v>1300</v>
      </c>
      <c r="E56" s="16">
        <v>5</v>
      </c>
      <c r="F56" s="10">
        <v>5</v>
      </c>
      <c r="G56" s="16">
        <v>1300</v>
      </c>
      <c r="H56" s="10"/>
      <c r="I56" s="10">
        <v>6100</v>
      </c>
      <c r="J56" s="10">
        <v>44</v>
      </c>
      <c r="K56" s="10"/>
      <c r="L56" s="10"/>
      <c r="M56" s="21">
        <f>98470.21/10000</f>
        <v>9.847021</v>
      </c>
      <c r="N56" s="21">
        <f>G56*40/10000</f>
        <v>5.2</v>
      </c>
      <c r="O56" s="21">
        <f>(M56-N56)*0.35</f>
        <v>1.6264573499999997</v>
      </c>
      <c r="P56" s="21">
        <f>(M56-N56)*0.25</f>
        <v>1.16175525</v>
      </c>
      <c r="Q56" s="21">
        <f>(M56-N56)*0.23</f>
        <v>1.06881483</v>
      </c>
      <c r="R56" s="21">
        <f>M56-N56-O56-P56-Q56</f>
        <v>0.7899935699999998</v>
      </c>
    </row>
    <row r="57" spans="1:18" ht="14.25">
      <c r="A57" s="10">
        <v>2</v>
      </c>
      <c r="B57" s="15" t="s">
        <v>175</v>
      </c>
      <c r="C57" s="15" t="s">
        <v>174</v>
      </c>
      <c r="D57" s="16">
        <v>2000</v>
      </c>
      <c r="E57" s="16">
        <v>5.1</v>
      </c>
      <c r="F57" s="10">
        <v>3</v>
      </c>
      <c r="G57" s="16">
        <v>2000</v>
      </c>
      <c r="H57" s="10"/>
      <c r="I57" s="10">
        <v>9400</v>
      </c>
      <c r="J57" s="10">
        <v>68</v>
      </c>
      <c r="K57" s="10"/>
      <c r="L57" s="10"/>
      <c r="M57" s="21">
        <f>151495.12/10000</f>
        <v>15.149512</v>
      </c>
      <c r="N57" s="21">
        <f>G57*40/10000</f>
        <v>8</v>
      </c>
      <c r="O57" s="21">
        <f>(M57-N57)*0.35</f>
        <v>2.5023291999999997</v>
      </c>
      <c r="P57" s="21">
        <f>(M57-N57)*0.25</f>
        <v>1.787378</v>
      </c>
      <c r="Q57" s="21">
        <f>(M57-N57)*0.23</f>
        <v>1.64438776</v>
      </c>
      <c r="R57" s="21">
        <f>M57-N57-O57-P57-Q57</f>
        <v>1.2154170399999995</v>
      </c>
    </row>
    <row r="58" spans="1:18" ht="14.25">
      <c r="A58" s="10">
        <v>3</v>
      </c>
      <c r="B58" s="11" t="s">
        <v>176</v>
      </c>
      <c r="C58" s="11" t="s">
        <v>177</v>
      </c>
      <c r="D58" s="12">
        <v>1800</v>
      </c>
      <c r="E58" s="12">
        <v>6.5</v>
      </c>
      <c r="F58" s="9">
        <v>4</v>
      </c>
      <c r="G58" s="12">
        <v>1800</v>
      </c>
      <c r="H58" s="9"/>
      <c r="I58" s="9">
        <v>8500</v>
      </c>
      <c r="J58" s="9">
        <v>61</v>
      </c>
      <c r="K58" s="9"/>
      <c r="L58" s="9"/>
      <c r="M58" s="19">
        <f>136343.99/10000</f>
        <v>13.634398999999998</v>
      </c>
      <c r="N58" s="19">
        <f>G58*40/10000</f>
        <v>7.2</v>
      </c>
      <c r="O58" s="19">
        <f>(M58-N58)*0.35</f>
        <v>2.252039649999999</v>
      </c>
      <c r="P58" s="19">
        <f>(M58-N58)*0.25</f>
        <v>1.6085997499999996</v>
      </c>
      <c r="Q58" s="19">
        <f>(M58-N58)*0.23</f>
        <v>1.4799117699999997</v>
      </c>
      <c r="R58" s="21">
        <f>M58-N58-O58-P58-Q58</f>
        <v>1.0938478299999992</v>
      </c>
    </row>
    <row r="59" spans="1:18" ht="14.25">
      <c r="A59" s="7" t="s">
        <v>71</v>
      </c>
      <c r="B59" s="7" t="s">
        <v>178</v>
      </c>
      <c r="C59" s="7"/>
      <c r="D59" s="7">
        <f aca="true" t="shared" si="44" ref="D59:J59">D60+D62</f>
        <v>10000</v>
      </c>
      <c r="E59" s="7"/>
      <c r="F59" s="7">
        <f t="shared" si="44"/>
        <v>17</v>
      </c>
      <c r="G59" s="7">
        <f t="shared" si="44"/>
        <v>7837</v>
      </c>
      <c r="H59" s="7">
        <f t="shared" si="44"/>
        <v>9</v>
      </c>
      <c r="I59" s="7">
        <f t="shared" si="44"/>
        <v>40935</v>
      </c>
      <c r="J59" s="7">
        <f t="shared" si="44"/>
        <v>318.9415</v>
      </c>
      <c r="K59" s="7"/>
      <c r="L59" s="7"/>
      <c r="M59" s="17">
        <f aca="true" t="shared" si="45" ref="M59:R59">M60+M62</f>
        <v>68.72709210000001</v>
      </c>
      <c r="N59" s="17">
        <f t="shared" si="45"/>
        <v>37.234</v>
      </c>
      <c r="O59" s="17">
        <f t="shared" si="45"/>
        <v>11.022582235</v>
      </c>
      <c r="P59" s="17">
        <f t="shared" si="45"/>
        <v>7.873273025</v>
      </c>
      <c r="Q59" s="17">
        <f t="shared" si="45"/>
        <v>7.243411183000001</v>
      </c>
      <c r="R59" s="17">
        <f t="shared" si="45"/>
        <v>5.353825657000002</v>
      </c>
    </row>
    <row r="60" spans="1:18" ht="14.25">
      <c r="A60" s="8" t="s">
        <v>24</v>
      </c>
      <c r="B60" s="8" t="s">
        <v>73</v>
      </c>
      <c r="C60" s="8"/>
      <c r="D60" s="8">
        <f aca="true" t="shared" si="46" ref="D60:J60">SUM(D61:D61)</f>
        <v>1300</v>
      </c>
      <c r="E60" s="8"/>
      <c r="F60" s="8">
        <f t="shared" si="46"/>
        <v>3</v>
      </c>
      <c r="G60" s="8">
        <f t="shared" si="46"/>
        <v>981</v>
      </c>
      <c r="H60" s="8">
        <f t="shared" si="46"/>
        <v>2</v>
      </c>
      <c r="I60" s="8">
        <f t="shared" si="46"/>
        <v>10791</v>
      </c>
      <c r="J60" s="8">
        <f t="shared" si="46"/>
        <v>85.8375</v>
      </c>
      <c r="K60" s="8"/>
      <c r="L60" s="8"/>
      <c r="M60" s="24">
        <f aca="true" t="shared" si="47" ref="M60:R60">SUM(M61:M61)</f>
        <v>14.437954000000001</v>
      </c>
      <c r="N60" s="18">
        <f t="shared" si="47"/>
        <v>9.81</v>
      </c>
      <c r="O60" s="18">
        <f t="shared" si="47"/>
        <v>1.6197839000000003</v>
      </c>
      <c r="P60" s="18">
        <f t="shared" si="47"/>
        <v>1.1569885000000002</v>
      </c>
      <c r="Q60" s="18">
        <f t="shared" si="47"/>
        <v>1.0644294200000002</v>
      </c>
      <c r="R60" s="18">
        <f t="shared" si="47"/>
        <v>0.7867521800000001</v>
      </c>
    </row>
    <row r="61" spans="1:18" ht="14.25">
      <c r="A61" s="9">
        <v>1</v>
      </c>
      <c r="B61" s="9" t="s">
        <v>179</v>
      </c>
      <c r="C61" s="9" t="s">
        <v>180</v>
      </c>
      <c r="D61" s="9">
        <v>1300</v>
      </c>
      <c r="E61" s="9">
        <v>11</v>
      </c>
      <c r="F61" s="9">
        <v>3</v>
      </c>
      <c r="G61" s="9">
        <v>981</v>
      </c>
      <c r="H61" s="9">
        <v>2</v>
      </c>
      <c r="I61" s="9">
        <f>1.0791*10000</f>
        <v>10791</v>
      </c>
      <c r="J61" s="9">
        <v>85.8375</v>
      </c>
      <c r="K61" s="9"/>
      <c r="L61" s="9"/>
      <c r="M61" s="25">
        <f>144379.54/10000</f>
        <v>14.437954000000001</v>
      </c>
      <c r="N61" s="19">
        <f>G61*100/10000</f>
        <v>9.81</v>
      </c>
      <c r="O61" s="19">
        <f aca="true" t="shared" si="48" ref="O61:O67">(M61-N61)*0.35</f>
        <v>1.6197839000000003</v>
      </c>
      <c r="P61" s="19">
        <f aca="true" t="shared" si="49" ref="P61:P67">(M61-N61)*0.25</f>
        <v>1.1569885000000002</v>
      </c>
      <c r="Q61" s="19">
        <f aca="true" t="shared" si="50" ref="Q61:Q67">(M61-N61)*0.23</f>
        <v>1.0644294200000002</v>
      </c>
      <c r="R61" s="19">
        <f aca="true" t="shared" si="51" ref="R61:R67">M61-N61-O61-P61-Q61</f>
        <v>0.7867521800000001</v>
      </c>
    </row>
    <row r="62" spans="1:18" ht="14.25">
      <c r="A62" s="8" t="s">
        <v>88</v>
      </c>
      <c r="B62" s="8" t="s">
        <v>74</v>
      </c>
      <c r="C62" s="8"/>
      <c r="D62" s="8">
        <f aca="true" t="shared" si="52" ref="D62:J62">SUM(D63:D67)</f>
        <v>8700</v>
      </c>
      <c r="E62" s="8"/>
      <c r="F62" s="8">
        <f t="shared" si="52"/>
        <v>14</v>
      </c>
      <c r="G62" s="8">
        <f t="shared" si="52"/>
        <v>6856</v>
      </c>
      <c r="H62" s="8">
        <f t="shared" si="52"/>
        <v>7</v>
      </c>
      <c r="I62" s="8">
        <f t="shared" si="52"/>
        <v>30144</v>
      </c>
      <c r="J62" s="8">
        <f t="shared" si="52"/>
        <v>233.104</v>
      </c>
      <c r="K62" s="8"/>
      <c r="L62" s="8"/>
      <c r="M62" s="24">
        <f aca="true" t="shared" si="53" ref="M62:R62">SUM(M63:M67)</f>
        <v>54.2891381</v>
      </c>
      <c r="N62" s="18">
        <f t="shared" si="53"/>
        <v>27.424000000000003</v>
      </c>
      <c r="O62" s="18">
        <f t="shared" si="53"/>
        <v>9.402798335</v>
      </c>
      <c r="P62" s="18">
        <f t="shared" si="53"/>
        <v>6.716284525</v>
      </c>
      <c r="Q62" s="18">
        <f t="shared" si="53"/>
        <v>6.178981763</v>
      </c>
      <c r="R62" s="18">
        <f t="shared" si="53"/>
        <v>4.567073477000001</v>
      </c>
    </row>
    <row r="63" spans="1:18" ht="14.25">
      <c r="A63" s="10">
        <v>1</v>
      </c>
      <c r="B63" s="9" t="s">
        <v>181</v>
      </c>
      <c r="C63" s="9" t="s">
        <v>182</v>
      </c>
      <c r="D63" s="9">
        <v>2800</v>
      </c>
      <c r="E63" s="9">
        <v>9</v>
      </c>
      <c r="F63" s="9">
        <v>4</v>
      </c>
      <c r="G63" s="9">
        <v>2527</v>
      </c>
      <c r="H63" s="9">
        <v>2</v>
      </c>
      <c r="I63" s="9">
        <v>10950</v>
      </c>
      <c r="J63" s="9">
        <v>85.918</v>
      </c>
      <c r="K63" s="9"/>
      <c r="L63" s="9"/>
      <c r="M63" s="25">
        <f>198314.74/10000</f>
        <v>19.831474</v>
      </c>
      <c r="N63" s="19">
        <f>G63*40/10000</f>
        <v>10.108</v>
      </c>
      <c r="O63" s="19">
        <f t="shared" si="48"/>
        <v>3.4032158999999997</v>
      </c>
      <c r="P63" s="19">
        <f t="shared" si="49"/>
        <v>2.4308685</v>
      </c>
      <c r="Q63" s="19">
        <f t="shared" si="50"/>
        <v>2.23639902</v>
      </c>
      <c r="R63" s="21">
        <f t="shared" si="51"/>
        <v>1.6529905800000004</v>
      </c>
    </row>
    <row r="64" spans="1:18" ht="14.25">
      <c r="A64" s="10">
        <v>2</v>
      </c>
      <c r="B64" s="9" t="s">
        <v>183</v>
      </c>
      <c r="C64" s="9" t="s">
        <v>182</v>
      </c>
      <c r="D64" s="9">
        <v>1000</v>
      </c>
      <c r="E64" s="9">
        <v>6.5</v>
      </c>
      <c r="F64" s="9">
        <v>1</v>
      </c>
      <c r="G64" s="9">
        <v>881</v>
      </c>
      <c r="H64" s="9">
        <v>1</v>
      </c>
      <c r="I64" s="9">
        <v>4464</v>
      </c>
      <c r="J64" s="9">
        <v>29.954</v>
      </c>
      <c r="K64" s="9"/>
      <c r="L64" s="9"/>
      <c r="M64" s="25">
        <f>68020.85/10000</f>
        <v>6.802085000000001</v>
      </c>
      <c r="N64" s="19">
        <f>G64*40/10000</f>
        <v>3.524</v>
      </c>
      <c r="O64" s="19">
        <f t="shared" si="48"/>
        <v>1.1473297500000001</v>
      </c>
      <c r="P64" s="19">
        <f t="shared" si="49"/>
        <v>0.8195212500000002</v>
      </c>
      <c r="Q64" s="19">
        <f t="shared" si="50"/>
        <v>0.7539595500000003</v>
      </c>
      <c r="R64" s="21">
        <f t="shared" si="51"/>
        <v>0.5572744500000004</v>
      </c>
    </row>
    <row r="65" spans="1:18" ht="14.25">
      <c r="A65" s="10">
        <v>3</v>
      </c>
      <c r="B65" s="9" t="s">
        <v>184</v>
      </c>
      <c r="C65" s="9" t="s">
        <v>180</v>
      </c>
      <c r="D65" s="9">
        <v>800</v>
      </c>
      <c r="E65" s="9">
        <v>9</v>
      </c>
      <c r="F65" s="9">
        <v>3</v>
      </c>
      <c r="G65" s="9">
        <v>555</v>
      </c>
      <c r="H65" s="9">
        <v>1</v>
      </c>
      <c r="I65" s="9">
        <v>2498</v>
      </c>
      <c r="J65" s="9">
        <v>18.87</v>
      </c>
      <c r="K65" s="9"/>
      <c r="L65" s="9"/>
      <c r="M65" s="25">
        <f>44307.51/10000</f>
        <v>4.430751</v>
      </c>
      <c r="N65" s="19">
        <f>G65*40/10000</f>
        <v>2.22</v>
      </c>
      <c r="O65" s="19">
        <f t="shared" si="48"/>
        <v>0.7737628499999999</v>
      </c>
      <c r="P65" s="19">
        <f t="shared" si="49"/>
        <v>0.5526877499999999</v>
      </c>
      <c r="Q65" s="19">
        <f t="shared" si="50"/>
        <v>0.5084727299999999</v>
      </c>
      <c r="R65" s="21">
        <f t="shared" si="51"/>
        <v>0.37582767000000006</v>
      </c>
    </row>
    <row r="66" spans="1:18" ht="14.25">
      <c r="A66" s="10">
        <v>4</v>
      </c>
      <c r="B66" s="9" t="s">
        <v>185</v>
      </c>
      <c r="C66" s="9" t="s">
        <v>180</v>
      </c>
      <c r="D66" s="9">
        <v>1500</v>
      </c>
      <c r="E66" s="9">
        <v>8</v>
      </c>
      <c r="F66" s="9">
        <v>2</v>
      </c>
      <c r="G66" s="9">
        <v>914</v>
      </c>
      <c r="H66" s="9">
        <v>1</v>
      </c>
      <c r="I66" s="9">
        <v>3656</v>
      </c>
      <c r="J66" s="9">
        <v>31.076</v>
      </c>
      <c r="K66" s="9"/>
      <c r="L66" s="9"/>
      <c r="M66" s="25">
        <f>62689.031/10000</f>
        <v>6.2689031</v>
      </c>
      <c r="N66" s="19">
        <f>G66*40/10000</f>
        <v>3.656</v>
      </c>
      <c r="O66" s="19">
        <f t="shared" si="48"/>
        <v>0.9145160849999999</v>
      </c>
      <c r="P66" s="19">
        <f t="shared" si="49"/>
        <v>0.653225775</v>
      </c>
      <c r="Q66" s="19">
        <f t="shared" si="50"/>
        <v>0.6009677130000001</v>
      </c>
      <c r="R66" s="21">
        <f t="shared" si="51"/>
        <v>0.44419352700000003</v>
      </c>
    </row>
    <row r="67" spans="1:18" ht="14.25">
      <c r="A67" s="10">
        <v>5</v>
      </c>
      <c r="B67" s="9" t="s">
        <v>186</v>
      </c>
      <c r="C67" s="9" t="s">
        <v>187</v>
      </c>
      <c r="D67" s="9">
        <v>2600</v>
      </c>
      <c r="E67" s="9">
        <v>8</v>
      </c>
      <c r="F67" s="9">
        <v>4</v>
      </c>
      <c r="G67" s="9">
        <v>1979</v>
      </c>
      <c r="H67" s="9">
        <v>2</v>
      </c>
      <c r="I67" s="9">
        <v>8576</v>
      </c>
      <c r="J67" s="9">
        <v>67.286</v>
      </c>
      <c r="K67" s="9"/>
      <c r="L67" s="9"/>
      <c r="M67" s="25">
        <f>169559.25/10000</f>
        <v>16.955925</v>
      </c>
      <c r="N67" s="19">
        <f>G67*40/10000</f>
        <v>7.916</v>
      </c>
      <c r="O67" s="19">
        <f t="shared" si="48"/>
        <v>3.16397375</v>
      </c>
      <c r="P67" s="19">
        <f t="shared" si="49"/>
        <v>2.25998125</v>
      </c>
      <c r="Q67" s="19">
        <f t="shared" si="50"/>
        <v>2.07918275</v>
      </c>
      <c r="R67" s="21">
        <f t="shared" si="51"/>
        <v>1.5367872499999997</v>
      </c>
    </row>
    <row r="68" spans="1:18" ht="14.25">
      <c r="A68" s="7" t="s">
        <v>77</v>
      </c>
      <c r="B68" s="7" t="s">
        <v>104</v>
      </c>
      <c r="C68" s="7"/>
      <c r="D68" s="7">
        <f aca="true" t="shared" si="54" ref="D68:J68">D69+D72</f>
        <v>11998</v>
      </c>
      <c r="E68" s="7"/>
      <c r="F68" s="7">
        <f t="shared" si="54"/>
        <v>18</v>
      </c>
      <c r="G68" s="7">
        <f t="shared" si="54"/>
        <v>11998</v>
      </c>
      <c r="H68" s="7">
        <f t="shared" si="54"/>
        <v>10</v>
      </c>
      <c r="I68" s="7">
        <f t="shared" si="54"/>
        <v>109710</v>
      </c>
      <c r="J68" s="7">
        <f t="shared" si="54"/>
        <v>764.0815</v>
      </c>
      <c r="K68" s="7"/>
      <c r="L68" s="7"/>
      <c r="M68" s="17">
        <f aca="true" t="shared" si="55" ref="M68:R68">M69+M72</f>
        <v>151.80679999999998</v>
      </c>
      <c r="N68" s="17">
        <f t="shared" si="55"/>
        <v>87.934</v>
      </c>
      <c r="O68" s="17">
        <f t="shared" si="55"/>
        <v>22.355479999999996</v>
      </c>
      <c r="P68" s="17">
        <f t="shared" si="55"/>
        <v>15.968199999999998</v>
      </c>
      <c r="Q68" s="17">
        <f t="shared" si="55"/>
        <v>14.690743999999999</v>
      </c>
      <c r="R68" s="17">
        <f t="shared" si="55"/>
        <v>10.858376</v>
      </c>
    </row>
    <row r="69" spans="1:18" ht="14.25">
      <c r="A69" s="9" t="s">
        <v>24</v>
      </c>
      <c r="B69" s="9" t="s">
        <v>79</v>
      </c>
      <c r="C69" s="9"/>
      <c r="D69" s="9">
        <f aca="true" t="shared" si="56" ref="D69:J69">SUM(D70:D71)</f>
        <v>6657</v>
      </c>
      <c r="E69" s="9"/>
      <c r="F69" s="9">
        <f t="shared" si="56"/>
        <v>7</v>
      </c>
      <c r="G69" s="9">
        <f t="shared" si="56"/>
        <v>6657</v>
      </c>
      <c r="H69" s="9">
        <f t="shared" si="56"/>
        <v>3</v>
      </c>
      <c r="I69" s="9">
        <f t="shared" si="56"/>
        <v>93567</v>
      </c>
      <c r="J69" s="9">
        <f t="shared" si="56"/>
        <v>582.4875</v>
      </c>
      <c r="K69" s="9"/>
      <c r="L69" s="9"/>
      <c r="M69" s="19">
        <f aca="true" t="shared" si="57" ref="M69:R69">SUM(M70:M71)</f>
        <v>114.40969999999999</v>
      </c>
      <c r="N69" s="19">
        <f t="shared" si="57"/>
        <v>66.57</v>
      </c>
      <c r="O69" s="19">
        <f t="shared" si="57"/>
        <v>16.743895</v>
      </c>
      <c r="P69" s="19">
        <f t="shared" si="57"/>
        <v>11.959924999999998</v>
      </c>
      <c r="Q69" s="19">
        <f t="shared" si="57"/>
        <v>11.003131</v>
      </c>
      <c r="R69" s="19">
        <f t="shared" si="57"/>
        <v>8.132749</v>
      </c>
    </row>
    <row r="70" spans="1:18" ht="14.25">
      <c r="A70" s="9">
        <v>1</v>
      </c>
      <c r="B70" s="9" t="s">
        <v>188</v>
      </c>
      <c r="C70" s="9" t="s">
        <v>189</v>
      </c>
      <c r="D70" s="9">
        <v>4105</v>
      </c>
      <c r="E70" s="9">
        <v>12</v>
      </c>
      <c r="F70" s="9">
        <v>4</v>
      </c>
      <c r="G70" s="9">
        <v>4105</v>
      </c>
      <c r="H70" s="9">
        <v>2</v>
      </c>
      <c r="I70" s="9">
        <v>62943</v>
      </c>
      <c r="J70" s="9">
        <v>359.1875</v>
      </c>
      <c r="K70" s="9"/>
      <c r="L70" s="9"/>
      <c r="M70" s="19">
        <v>74.7884</v>
      </c>
      <c r="N70" s="19">
        <f>G70*100/10000</f>
        <v>41.05</v>
      </c>
      <c r="O70" s="19">
        <f aca="true" t="shared" si="58" ref="O70:O77">(M70-N70)*0.35</f>
        <v>11.80844</v>
      </c>
      <c r="P70" s="19">
        <f aca="true" t="shared" si="59" ref="P70:P77">(M70-N70)*0.25</f>
        <v>8.4346</v>
      </c>
      <c r="Q70" s="19">
        <f aca="true" t="shared" si="60" ref="Q70:Q77">(M70-N70)*0.23</f>
        <v>7.759832</v>
      </c>
      <c r="R70" s="19">
        <f aca="true" t="shared" si="61" ref="R70:R77">M70-N70-O70-P70-Q70</f>
        <v>5.735528000000001</v>
      </c>
    </row>
    <row r="71" spans="1:18" ht="14.25">
      <c r="A71" s="9">
        <v>2</v>
      </c>
      <c r="B71" s="9" t="s">
        <v>190</v>
      </c>
      <c r="C71" s="9" t="s">
        <v>191</v>
      </c>
      <c r="D71" s="9">
        <v>2552</v>
      </c>
      <c r="E71" s="9">
        <v>12</v>
      </c>
      <c r="F71" s="9">
        <v>3</v>
      </c>
      <c r="G71" s="9">
        <v>2552</v>
      </c>
      <c r="H71" s="9">
        <v>1</v>
      </c>
      <c r="I71" s="20">
        <v>30624</v>
      </c>
      <c r="J71" s="9">
        <v>223.3</v>
      </c>
      <c r="K71" s="9"/>
      <c r="L71" s="9"/>
      <c r="M71" s="19">
        <v>39.6213</v>
      </c>
      <c r="N71" s="19">
        <f>G71*100/10000</f>
        <v>25.52</v>
      </c>
      <c r="O71" s="19">
        <f t="shared" si="58"/>
        <v>4.935454999999999</v>
      </c>
      <c r="P71" s="19">
        <f t="shared" si="59"/>
        <v>3.5253249999999996</v>
      </c>
      <c r="Q71" s="19">
        <f t="shared" si="60"/>
        <v>3.243299</v>
      </c>
      <c r="R71" s="19">
        <f t="shared" si="61"/>
        <v>2.3972209999999996</v>
      </c>
    </row>
    <row r="72" spans="1:18" ht="14.25">
      <c r="A72" s="9" t="s">
        <v>88</v>
      </c>
      <c r="B72" s="9" t="s">
        <v>80</v>
      </c>
      <c r="C72" s="9"/>
      <c r="D72" s="9">
        <f aca="true" t="shared" si="62" ref="D72:J72">SUM(D73:D77)</f>
        <v>5341</v>
      </c>
      <c r="E72" s="9"/>
      <c r="F72" s="9">
        <f t="shared" si="62"/>
        <v>11</v>
      </c>
      <c r="G72" s="9">
        <f t="shared" si="62"/>
        <v>5341</v>
      </c>
      <c r="H72" s="9">
        <f t="shared" si="62"/>
        <v>7</v>
      </c>
      <c r="I72" s="9">
        <f t="shared" si="62"/>
        <v>16143</v>
      </c>
      <c r="J72" s="9">
        <f t="shared" si="62"/>
        <v>181.594</v>
      </c>
      <c r="K72" s="9"/>
      <c r="L72" s="9"/>
      <c r="M72" s="19">
        <f aca="true" t="shared" si="63" ref="M72:R72">SUM(M73:M77)</f>
        <v>37.3971</v>
      </c>
      <c r="N72" s="19">
        <f t="shared" si="63"/>
        <v>21.364</v>
      </c>
      <c r="O72" s="19">
        <f t="shared" si="63"/>
        <v>5.611584999999999</v>
      </c>
      <c r="P72" s="19">
        <f t="shared" si="63"/>
        <v>4.008274999999999</v>
      </c>
      <c r="Q72" s="19">
        <f t="shared" si="63"/>
        <v>3.687613</v>
      </c>
      <c r="R72" s="19">
        <f t="shared" si="63"/>
        <v>2.725627</v>
      </c>
    </row>
    <row r="73" spans="1:18" ht="14.25">
      <c r="A73" s="9">
        <v>1</v>
      </c>
      <c r="B73" s="9" t="s">
        <v>192</v>
      </c>
      <c r="C73" s="9" t="s">
        <v>193</v>
      </c>
      <c r="D73" s="9">
        <v>567</v>
      </c>
      <c r="E73" s="9">
        <v>8</v>
      </c>
      <c r="F73" s="9">
        <v>3</v>
      </c>
      <c r="G73" s="9">
        <v>567</v>
      </c>
      <c r="H73" s="9">
        <v>2</v>
      </c>
      <c r="I73" s="9">
        <v>2457</v>
      </c>
      <c r="J73" s="9">
        <v>19.278</v>
      </c>
      <c r="K73" s="9"/>
      <c r="L73" s="9"/>
      <c r="M73" s="19">
        <v>4.4497</v>
      </c>
      <c r="N73" s="19">
        <f>G73*40/10000</f>
        <v>2.268</v>
      </c>
      <c r="O73" s="19">
        <f t="shared" si="58"/>
        <v>0.763595</v>
      </c>
      <c r="P73" s="19">
        <f t="shared" si="59"/>
        <v>0.545425</v>
      </c>
      <c r="Q73" s="19">
        <f t="shared" si="60"/>
        <v>0.5017910000000001</v>
      </c>
      <c r="R73" s="19">
        <f t="shared" si="61"/>
        <v>0.370889</v>
      </c>
    </row>
    <row r="74" spans="1:18" ht="14.25">
      <c r="A74" s="9">
        <v>2</v>
      </c>
      <c r="B74" s="9" t="s">
        <v>194</v>
      </c>
      <c r="C74" s="9" t="s">
        <v>195</v>
      </c>
      <c r="D74" s="9">
        <v>914</v>
      </c>
      <c r="E74" s="9">
        <v>5.5</v>
      </c>
      <c r="F74" s="9">
        <v>1</v>
      </c>
      <c r="G74" s="9">
        <v>914</v>
      </c>
      <c r="H74" s="9">
        <v>1</v>
      </c>
      <c r="I74" s="9">
        <v>2514</v>
      </c>
      <c r="J74" s="9">
        <v>31.076</v>
      </c>
      <c r="K74" s="9"/>
      <c r="L74" s="9"/>
      <c r="M74" s="19">
        <v>5.3461</v>
      </c>
      <c r="N74" s="19">
        <f>G74*40/10000</f>
        <v>3.656</v>
      </c>
      <c r="O74" s="19">
        <f t="shared" si="58"/>
        <v>0.5915349999999998</v>
      </c>
      <c r="P74" s="19">
        <f t="shared" si="59"/>
        <v>0.42252499999999993</v>
      </c>
      <c r="Q74" s="19">
        <f t="shared" si="60"/>
        <v>0.38872299999999993</v>
      </c>
      <c r="R74" s="19">
        <f t="shared" si="61"/>
        <v>0.28731699999999993</v>
      </c>
    </row>
    <row r="75" spans="1:18" ht="14.25">
      <c r="A75" s="9">
        <v>3</v>
      </c>
      <c r="B75" s="9" t="s">
        <v>196</v>
      </c>
      <c r="C75" s="9" t="s">
        <v>197</v>
      </c>
      <c r="D75" s="9">
        <v>679</v>
      </c>
      <c r="E75" s="9">
        <v>7</v>
      </c>
      <c r="F75" s="9">
        <v>2</v>
      </c>
      <c r="G75" s="9">
        <v>679</v>
      </c>
      <c r="H75" s="9">
        <v>1</v>
      </c>
      <c r="I75" s="9">
        <v>2263</v>
      </c>
      <c r="J75" s="9">
        <v>23.086</v>
      </c>
      <c r="K75" s="9"/>
      <c r="L75" s="9"/>
      <c r="M75" s="19">
        <v>4.7798</v>
      </c>
      <c r="N75" s="19">
        <f>G75*40/10000</f>
        <v>2.716</v>
      </c>
      <c r="O75" s="19">
        <f t="shared" si="58"/>
        <v>0.7223299999999998</v>
      </c>
      <c r="P75" s="19">
        <f t="shared" si="59"/>
        <v>0.5159499999999999</v>
      </c>
      <c r="Q75" s="19">
        <f t="shared" si="60"/>
        <v>0.47467399999999993</v>
      </c>
      <c r="R75" s="19">
        <f t="shared" si="61"/>
        <v>0.3508459999999999</v>
      </c>
    </row>
    <row r="76" spans="1:18" ht="14.25">
      <c r="A76" s="9">
        <v>4</v>
      </c>
      <c r="B76" s="9" t="s">
        <v>198</v>
      </c>
      <c r="C76" s="9" t="s">
        <v>199</v>
      </c>
      <c r="D76" s="9">
        <v>2551</v>
      </c>
      <c r="E76" s="9">
        <v>6</v>
      </c>
      <c r="F76" s="9">
        <v>3</v>
      </c>
      <c r="G76" s="9">
        <v>2551</v>
      </c>
      <c r="H76" s="9">
        <v>2</v>
      </c>
      <c r="I76" s="9">
        <v>7289</v>
      </c>
      <c r="J76" s="9">
        <v>86.734</v>
      </c>
      <c r="K76" s="9"/>
      <c r="L76" s="9"/>
      <c r="M76" s="19">
        <v>18.814</v>
      </c>
      <c r="N76" s="19">
        <f>G76*40/10000</f>
        <v>10.204</v>
      </c>
      <c r="O76" s="19">
        <f t="shared" si="58"/>
        <v>3.0134999999999996</v>
      </c>
      <c r="P76" s="19">
        <f t="shared" si="59"/>
        <v>2.1525</v>
      </c>
      <c r="Q76" s="19">
        <f t="shared" si="60"/>
        <v>1.9803</v>
      </c>
      <c r="R76" s="19">
        <f t="shared" si="61"/>
        <v>1.4637</v>
      </c>
    </row>
    <row r="77" spans="1:18" ht="14.25">
      <c r="A77" s="9">
        <v>5</v>
      </c>
      <c r="B77" s="9" t="s">
        <v>200</v>
      </c>
      <c r="C77" s="9" t="s">
        <v>201</v>
      </c>
      <c r="D77" s="9">
        <v>630</v>
      </c>
      <c r="E77" s="9">
        <v>6</v>
      </c>
      <c r="F77" s="9">
        <v>2</v>
      </c>
      <c r="G77" s="9">
        <v>630</v>
      </c>
      <c r="H77" s="9">
        <v>1</v>
      </c>
      <c r="I77" s="9">
        <v>1620</v>
      </c>
      <c r="J77" s="9">
        <v>21.42</v>
      </c>
      <c r="K77" s="9"/>
      <c r="L77" s="9"/>
      <c r="M77" s="19">
        <v>4.0075</v>
      </c>
      <c r="N77" s="19">
        <f>G77*40/10000</f>
        <v>2.52</v>
      </c>
      <c r="O77" s="19">
        <f t="shared" si="58"/>
        <v>0.5206250000000001</v>
      </c>
      <c r="P77" s="19">
        <f t="shared" si="59"/>
        <v>0.37187500000000007</v>
      </c>
      <c r="Q77" s="19">
        <f t="shared" si="60"/>
        <v>0.34212500000000007</v>
      </c>
      <c r="R77" s="19">
        <f t="shared" si="61"/>
        <v>0.252875</v>
      </c>
    </row>
  </sheetData>
  <sheetProtection/>
  <mergeCells count="8">
    <mergeCell ref="A1:R1"/>
    <mergeCell ref="D2:F2"/>
    <mergeCell ref="G2:H2"/>
    <mergeCell ref="I2:L2"/>
    <mergeCell ref="M2:R2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2019-01-09T08:31:55Z</cp:lastPrinted>
  <dcterms:created xsi:type="dcterms:W3CDTF">2018-10-21T11:01:18Z</dcterms:created>
  <dcterms:modified xsi:type="dcterms:W3CDTF">2019-01-09T08:32:02Z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